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isijb5vQerd/lpkyNaYPcvvbo6wS5OfhSQ0R84OgNIp9gC39xtY6y1yhw6jB6o9y9IxWk+GPV2yqUNgZvhQbaA==" workbookSaltValue="7/Y4OY4Z4a2cD3QlpWJS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S15" i="16"/>
  <c r="BF12" i="11"/>
  <c r="BL10" i="11"/>
  <c r="BK16" i="11"/>
  <c r="BG16" i="11"/>
  <c r="BM9" i="11"/>
  <c r="BK10" i="11"/>
  <c r="T13" i="20"/>
  <c r="BF15" i="8"/>
  <c r="AU18" i="21"/>
  <c r="S15" i="17"/>
  <c r="AH13" i="16"/>
  <c r="S16" i="17"/>
  <c r="L17" i="2"/>
  <c r="V10" i="16"/>
  <c r="AP13" i="16"/>
  <c r="V9" i="16"/>
  <c r="T18" i="17"/>
  <c r="BG15" i="13"/>
  <c r="BE16" i="13"/>
  <c r="BE15" i="13"/>
  <c r="AX20" i="20"/>
  <c r="S19" i="8" l="1"/>
  <c r="BG10" i="8"/>
  <c r="H10" i="2"/>
  <c r="T9" i="11"/>
  <c r="X15" i="16"/>
  <c r="X18" i="16" s="1"/>
  <c r="L12" i="2"/>
  <c r="BF9" i="8"/>
  <c r="BH12" i="16"/>
  <c r="S17" i="17"/>
  <c r="BH11" i="11"/>
  <c r="BJ10" i="11"/>
  <c r="BL15" i="11"/>
  <c r="P15" i="17"/>
  <c r="X17" i="17"/>
  <c r="BW10" i="20"/>
  <c r="BW12" i="20"/>
  <c r="BU11" i="17"/>
  <c r="BK17" i="11"/>
  <c r="BJ12" i="11"/>
  <c r="BM12" i="11"/>
  <c r="BF10" i="11"/>
  <c r="BM16" i="11"/>
  <c r="BH11" i="16"/>
  <c r="BD11" i="13"/>
  <c r="AB13" i="21"/>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<sst xmlns="http://schemas.openxmlformats.org/spreadsheetml/2006/main" count="2102" uniqueCount="918">
  <si>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</si>
  <si>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</si>
  <si>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</si>
  <si>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</si>
  <si>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</si>
  <si>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</si>
  <si>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</si>
  <si>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</si>
  <si>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</si>
  <si>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</si>
  <si>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</si>
  <si>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</si>
  <si>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</si>
  <si>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</si>
  <si>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</si>
  <si>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</si>
  <si>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</si>
  <si>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</si>
  <si>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</si>
  <si>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</si>
  <si>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</si>
  <si>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</si>
  <si>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</si>
  <si>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</si>
  <si>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</si>
  <si>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</si>
  <si>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</si>
  <si>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</si>
  <si>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</si>
  <si>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</si>
  <si>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</si>
  <si>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</si>
  <si>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</si>
  <si>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</si>
  <si>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</si>
  <si>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</si>
  <si>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</si>
  <si>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</si>
  <si>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</si>
  <si>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</si>
  <si>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</si>
  <si>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</si>
  <si>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</si>
  <si>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</si>
  <si>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</si>
  <si>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</si>
  <si>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</si>
  <si>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</si>
  <si>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</si>
  <si>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</si>
  <si>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</si>
  <si>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</si>
  <si>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</si>
  <si>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</si>
  <si>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</si>
  <si>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</si>
  <si>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</si>
  <si>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</si>
  <si>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</si>
  <si>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</si>
  <si>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</si>
  <si>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</si>
  <si>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</si>
  <si>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</si>
  <si>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</si>
  <si>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</si>
  <si>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</si>
  <si>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</si>
  <si>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</si>
  <si>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</si>
  <si>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</si>
  <si>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</si>
  <si>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</si>
  <si>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</si>
  <si>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</si>
  <si>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</si>
  <si>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</si>
  <si>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</si>
  <si>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</si>
  <si>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</si>
  <si>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</si>
  <si>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</si>
  <si>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</si>
  <si>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</si>
  <si>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</si>
  <si>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</si>
  <si>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</si>
  <si>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</si>
  <si>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</si>
  <si>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</si>
  <si>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</si>
  <si>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</si>
  <si>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</si>
  <si>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</si>
  <si>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</si>
  <si>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</si>
  <si>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</si>
  <si>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</si>
  <si>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</si>
  <si>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</si>
  <si>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</si>
  <si>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</si>
  <si>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</si>
  <si>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</si>
  <si>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</si>
  <si>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</si>
  <si>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</si>
  <si>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</si>
  <si>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</si>
  <si>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</si>
  <si>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</si>
  <si>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</si>
  <si>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</si>
  <si>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</si>
  <si>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</si>
  <si>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</si>
  <si>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</si>
  <si>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</si>
  <si>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</si>
  <si>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</si>
  <si>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</si>
  <si>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</si>
  <si>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</si>
  <si>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</si>
  <si>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</si>
  <si>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</si>
  <si>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</si>
  <si>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</si>
  <si>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</si>
  <si>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</si>
  <si>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</si>
  <si>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</si>
  <si>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</si>
  <si>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</si>
  <si>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</si>
  <si>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</si>
  <si>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</si>
  <si>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</si>
  <si>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</si>
  <si>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</si>
  <si>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</si>
  <si>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</si>
  <si>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</si>
  <si>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</si>
  <si>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</si>
  <si>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</si>
  <si>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</si>
  <si>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</si>
  <si>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</si>
  <si>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</si>
  <si>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</si>
  <si>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</si>
  <si>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</si>
  <si>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</si>
  <si>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</si>
  <si>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</si>
  <si>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</si>
  <si>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</si>
  <si>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</si>
  <si>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</si>
  <si>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</si>
  <si>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</si>
  <si>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</si>
  <si>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</si>
  <si>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</si>
  <si>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</si>
  <si>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</si>
  <si>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</si>
  <si>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</si>
  <si>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</si>
  <si>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</si>
  <si>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</si>
  <si>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</si>
  <si>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</si>
  <si>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</si>
  <si>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</si>
  <si>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</si>
  <si>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</si>
  <si>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</si>
  <si>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</si>
  <si>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</si>
  <si>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</si>
  <si>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</si>
  <si>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</si>
  <si>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</si>
  <si>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</si>
  <si>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</si>
  <si>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</si>
  <si>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</si>
  <si>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</si>
  <si>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</si>
  <si>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</si>
  <si>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</si>
  <si>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</si>
  <si>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</si>
  <si>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</si>
  <si>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</si>
  <si>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</si>
  <si>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</si>
  <si>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</si>
  <si>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</si>
  <si>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</si>
  <si>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</si>
  <si>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</si>
  <si>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</si>
  <si>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</si>
  <si>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</si>
  <si>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</si>
  <si>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</si>
  <si>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</si>
  <si>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</si>
  <si>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</si>
  <si>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</si>
  <si>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</si>
  <si>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</si>
  <si>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</si>
  <si>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</si>
  <si>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</si>
  <si>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</si>
  <si>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</si>
  <si>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</si>
  <si>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</si>
  <si>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</si>
  <si>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</si>
  <si>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</si>
  <si>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</si>
  <si>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</si>
  <si>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</si>
  <si>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</si>
  <si>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</si>
  <si>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</si>
  <si>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</si>
  <si>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</si>
  <si>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</si>
  <si>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</si>
  <si>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</si>
  <si>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</si>
  <si>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</si>
  <si>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</si>
  <si>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</si>
  <si>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</si>
  <si>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</si>
  <si>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</si>
  <si>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</si>
  <si>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</si>
  <si>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</si>
  <si>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</si>
  <si>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</si>
  <si>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</si>
  <si>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</si>
  <si>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</si>
  <si>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</si>
  <si>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</si>
  <si>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</si>
  <si>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</si>
  <si>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</si>
  <si>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</si>
  <si>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</si>
  <si>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</si>
  <si>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</si>
  <si>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</si>
  <si>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</si>
  <si>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</si>
  <si>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</si>
  <si>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</si>
  <si>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</si>
  <si>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</si>
  <si>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</si>
  <si>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</si>
  <si>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</si>
  <si>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</si>
  <si>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</si>
  <si>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</si>
  <si>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</si>
  <si>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</si>
  <si>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</si>
  <si>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</si>
  <si>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</si>
  <si>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</si>
  <si>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</si>
  <si>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</si>
  <si>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</si>
  <si>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</si>
  <si>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</si>
  <si>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</si>
  <si>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</si>
  <si>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</si>
  <si>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</si>
  <si>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</si>
  <si>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</si>
  <si>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</si>
  <si>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</si>
  <si>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</si>
  <si>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</si>
  <si>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</si>
  <si>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</si>
  <si>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</si>
  <si>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</si>
  <si>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</si>
  <si>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</si>
  <si>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</si>
  <si>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</si>
  <si>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</si>
  <si>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</si>
  <si>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</si>
  <si>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</si>
  <si>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</si>
  <si>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</si>
  <si>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</si>
  <si>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</si>
  <si>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</si>
  <si>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</si>
  <si>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</si>
  <si>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</si>
  <si>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</si>
  <si>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</si>
  <si>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</si>
  <si>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</si>
  <si>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</si>
  <si>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</si>
  <si>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</si>
  <si>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</si>
  <si>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</si>
  <si>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</si>
  <si>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</si>
  <si>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</si>
  <si>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</si>
  <si>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</si>
  <si>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</si>
  <si>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</si>
  <si>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</si>
  <si>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</si>
  <si>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</si>
  <si>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</si>
  <si>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</si>
  <si>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</si>
  <si>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</si>
  <si>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</si>
  <si>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</si>
  <si>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</si>
  <si>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</si>
  <si>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</si>
  <si>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</si>
  <si>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</si>
  <si>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</si>
  <si>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</si>
  <si>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</si>
  <si>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</si>
  <si>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</si>
  <si>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</si>
  <si>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</si>
  <si>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</si>
  <si>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</si>
  <si>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</si>
  <si>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</si>
  <si>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</si>
  <si>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</si>
  <si>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</si>
  <si>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</si>
  <si>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</si>
  <si>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</si>
  <si>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</si>
  <si>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</si>
  <si>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</si>
  <si>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</si>
  <si>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</si>
  <si>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</si>
  <si>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</si>
  <si>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</si>
  <si>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</si>
  <si>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</si>
  <si>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</si>
  <si>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</si>
  <si>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</si>
  <si>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</si>
  <si>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</si>
  <si>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</si>
  <si>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</si>
  <si>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</si>
  <si>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</si>
  <si>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</si>
  <si>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</si>
  <si>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</si>
  <si>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</si>
  <si>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</si>
  <si>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</si>
  <si>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</si>
  <si>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</si>
  <si>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</si>
  <si>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</si>
  <si>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</si>
  <si>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</si>
  <si>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</si>
  <si>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</si>
  <si>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</si>
  <si>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</si>
  <si>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</si>
  <si>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</si>
  <si>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</si>
  <si>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</si>
  <si>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</si>
  <si>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</si>
  <si>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</si>
  <si>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</si>
  <si>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</si>
  <si>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</si>
  <si>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</si>
  <si>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</si>
  <si>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</si>
  <si>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</si>
  <si>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</si>
  <si>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</si>
  <si>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</si>
  <si>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</si>
  <si>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</si>
  <si>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</si>
  <si>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</si>
  <si>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</si>
  <si>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</si>
  <si>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</si>
  <si>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</si>
  <si>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</si>
  <si>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</si>
  <si>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</si>
  <si>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</si>
  <si>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</si>
  <si>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</si>
  <si>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</si>
  <si>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</si>
  <si>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</si>
  <si>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</si>
  <si>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</si>
  <si>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</si>
  <si>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</si>
  <si>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</si>
  <si>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</si>
  <si>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</si>
  <si>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</si>
  <si>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</si>
  <si>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</si>
  <si>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</si>
  <si>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</si>
  <si>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</si>
  <si>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</si>
  <si>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</si>
  <si>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</si>
  <si>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</si>
  <si>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</si>
  <si>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</si>
  <si>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</si>
  <si>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</si>
  <si>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</si>
  <si>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</si>
  <si>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</si>
  <si>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</si>
  <si>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</si>
  <si>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</si>
  <si>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</si>
  <si>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</si>
  <si>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</si>
  <si>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</si>
  <si>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</si>
  <si>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</si>
  <si>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</si>
  <si>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</si>
  <si>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</si>
  <si>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</si>
  <si>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</si>
  <si>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</si>
  <si>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</si>
  <si>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</si>
  <si>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</si>
  <si>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</si>
  <si>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</si>
  <si>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</si>
  <si>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</si>
  <si>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</si>
  <si>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</si>
  <si>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</si>
  <si>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</si>
  <si>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</si>
  <si>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</si>
  <si>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</si>
  <si>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</si>
  <si>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</si>
  <si>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</si>
  <si>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</si>
  <si>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</si>
  <si>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</si>
  <si>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</si>
  <si>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</si>
  <si>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</si>
  <si>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</si>
  <si>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</si>
  <si>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</si>
  <si>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</si>
  <si>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</si>
  <si>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</si>
  <si>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</si>
  <si>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</si>
  <si>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</si>
  <si>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</si>
  <si>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</si>
  <si>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</si>
  <si>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</si>
  <si>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</si>
  <si>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</si>
  <si>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</si>
  <si>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</si>
  <si>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</si>
  <si>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</si>
  <si>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</si>
  <si>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</si>
  <si>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</si>
  <si>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</si>
  <si>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</si>
  <si>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</si>
  <si>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</si>
  <si>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</si>
  <si>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</si>
  <si>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</si>
  <si>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</si>
  <si>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</si>
  <si>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</si>
  <si>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</si>
  <si>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</si>
  <si>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</si>
  <si>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</si>
  <si>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</si>
  <si>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</si>
  <si>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</si>
  <si>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</si>
  <si>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</si>
  <si>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</si>
  <si>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</si>
  <si>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</si>
  <si>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</si>
  <si>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</si>
  <si>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</si>
  <si>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</si>
  <si>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</si>
  <si>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</si>
  <si>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</si>
  <si>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</si>
  <si>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</si>
  <si>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</si>
  <si>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</si>
  <si>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</si>
  <si>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</si>
  <si>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</si>
  <si>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</si>
  <si>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</si>
  <si>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</si>
  <si>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</si>
  <si>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</si>
  <si>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</si>
  <si>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</si>
  <si>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</si>
  <si>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</si>
  <si>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</si>
  <si>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</si>
  <si>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</si>
  <si>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</si>
  <si>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</si>
  <si>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</si>
  <si>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</si>
  <si>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</si>
  <si>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</si>
  <si>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</si>
  <si>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</si>
  <si>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</si>
  <si>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</si>
  <si>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</si>
  <si>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</si>
  <si>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</si>
  <si>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</si>
  <si>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</si>
  <si>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</si>
  <si>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</si>
  <si>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</si>
  <si>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</si>
  <si>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</si>
  <si>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</si>
  <si>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</si>
  <si>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</si>
  <si>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</si>
  <si>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</si>
  <si>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</si>
  <si>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</si>
  <si>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</si>
  <si>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</si>
  <si>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</si>
  <si>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</si>
  <si>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</si>
  <si>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</si>
  <si>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</si>
  <si>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</si>
  <si>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</si>
  <si>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</si>
  <si>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</si>
  <si>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</si>
  <si>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</si>
  <si>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</si>
  <si>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</si>
  <si>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</si>
  <si>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</si>
  <si>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</si>
  <si>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</si>
  <si>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</si>
  <si>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</si>
  <si>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</si>
  <si>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</si>
  <si>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</si>
  <si>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</si>
  <si>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</si>
  <si>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</si>
  <si>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</si>
  <si>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</si>
  <si>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</si>
  <si>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</si>
  <si>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</si>
  <si>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</si>
  <si>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</si>
  <si>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</si>
  <si>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</si>
  <si>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</si>
  <si>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</si>
  <si>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</si>
  <si>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</si>
  <si>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</si>
  <si>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</si>
  <si>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</si>
  <si>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</si>
  <si>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</si>
  <si>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</si>
  <si>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</si>
  <si>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</si>
  <si>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</si>
  <si>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</si>
  <si>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</si>
  <si>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</si>
  <si>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</si>
  <si>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</si>
  <si>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</si>
  <si>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</si>
  <si>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</si>
  <si>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</si>
  <si>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</si>
  <si>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</si>
  <si>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</si>
  <si>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</si>
  <si>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</si>
  <si>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</si>
  <si>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</si>
  <si>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</si>
  <si>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</si>
  <si>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</si>
  <si>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</si>
  <si>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</si>
  <si>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</si>
  <si>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</si>
  <si>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</si>
  <si>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</si>
  <si>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</si>
  <si>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</si>
  <si>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</si>
  <si>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</si>
  <si>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</si>
  <si>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</si>
  <si>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</si>
  <si>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</si>
  <si>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</si>
  <si>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</si>
  <si>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</si>
  <si>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</si>
  <si>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</si>
  <si>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</si>
  <si>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</si>
  <si>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</si>
  <si>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</si>
  <si>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</si>
  <si>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</si>
  <si>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</si>
  <si>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</si>
  <si>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</si>
  <si>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</si>
  <si>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</si>
  <si>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</si>
  <si>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</si>
  <si>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</si>
  <si>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</si>
  <si>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</si>
  <si>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</si>
  <si>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</si>
  <si>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</si>
  <si>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</si>
  <si>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</si>
  <si>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</si>
  <si>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</si>
  <si>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</si>
  <si>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</si>
  <si>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</si>
  <si>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</si>
  <si>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</si>
  <si>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</si>
  <si>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</si>
  <si>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</si>
  <si>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</si>
  <si>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</si>
  <si>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</si>
  <si>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</si>
  <si>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</si>
  <si>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</si>
  <si>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</si>
  <si>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</si>
  <si>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</si>
  <si>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</si>
  <si>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</si>
  <si>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</si>
  <si>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</si>
  <si>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</si>
  <si>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</si>
  <si>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</si>
  <si>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</si>
  <si>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</si>
  <si>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</si>
  <si>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</si>
  <si>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</si>
  <si>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</si>
  <si>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</si>
  <si>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</si>
  <si>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</si>
  <si>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</si>
  <si>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</si>
  <si>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</si>
  <si>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</si>
  <si>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</si>
  <si>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</si>
  <si>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</si>
  <si>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</si>
  <si>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</si>
  <si>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</si>
  <si>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</si>
  <si>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</si>
  <si>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</si>
  <si>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</si>
  <si>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</si>
  <si>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</si>
  <si>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</si>
  <si>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</si>
  <si>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</si>
  <si>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</si>
  <si>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</si>
  <si>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</si>
  <si>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</si>
  <si>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</si>
  <si>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</si>
  <si>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</si>
  <si>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</si>
  <si>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</si>
  <si>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</si>
  <si>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</si>
  <si>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</si>
  <si>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</si>
  <si>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</si>
  <si>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</si>
  <si>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</si>
  <si>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</si>
  <si>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</si>
  <si>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</si>
  <si>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</si>
  <si>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</si>
  <si>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</si>
  <si>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</si>
  <si>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</si>
  <si>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</si>
  <si>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</si>
  <si>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</si>
  <si>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</si>
  <si>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</si>
  <si>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</si>
  <si>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</si>
  <si>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</si>
  <si>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</si>
  <si>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</si>
  <si>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</si>
  <si>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</si>
  <si>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</si>
  <si>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</si>
  <si>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</si>
  <si>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</si>
  <si>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</si>
  <si>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</si>
  <si>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</si>
  <si>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</si>
  <si>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</si>
  <si>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</si>
  <si>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</si>
  <si>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</si>
  <si>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</si>
  <si>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</si>
  <si>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</si>
  <si>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</si>
  <si>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</si>
  <si>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</si>
  <si>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</si>
  <si>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</si>
  <si>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</si>
  <si>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</si>
  <si>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</si>
  <si>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</si>
  <si>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</si>
  <si>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</si>
  <si>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</si>
  <si>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</si>
  <si>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</si>
  <si>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</si>
  <si>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</si>
  <si>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</si>
  <si>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</si>
  <si>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</si>
  <si>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</si>
  <si>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</si>
  <si>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</si>
  <si>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</si>
  <si>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</si>
  <si>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</si>
  <si>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</si>
  <si>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</si>
  <si>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</si>
  <si>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</si>
  <si>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</si>
  <si>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</si>
  <si>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</si>
  <si>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</si>
  <si>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</si>
  <si>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</si>
  <si>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</si>
  <si>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</si>
  <si>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</si>
  <si>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</si>
  <si>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</si>
  <si>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</si>
  <si>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</si>
  <si>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</si>
  <si>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</si>
  <si>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</si>
  <si>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</si>
  <si>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</si>
  <si>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</si>
  <si>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</si>
  <si>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</si>
  <si>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</si>
  <si>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</si>
  <si>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</si>
  <si>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</si>
  <si>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</si>
  <si>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</si>
  <si>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</si>
  <si>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</si>
  <si>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</si>
  <si>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</si>
  <si>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</si>
  <si>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</si>
  <si>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</si>
  <si>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</si>
  <si>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</si>
  <si>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</si>
  <si>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</si>
  <si>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</si>
  <si>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</si>
  <si>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</si>
  <si>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</si>
  <si>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</si>
  <si>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</si>
  <si>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</si>
  <si>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</si>
  <si>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</si>
  <si>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</si>
  <si>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</si>
  <si>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</si>
  <si>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</si>
  <si>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</si>
  <si>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</si>
  <si>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</si>
  <si>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</si>
  <si>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</si>
  <si>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</si>
  <si>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</si>
  <si>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</si>
  <si>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</si>
  <si>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</si>
  <si>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</si>
  <si>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</si>
  <si>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</si>
  <si>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</si>
  <si>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</si>
  <si>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</si>
  <si>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</si>
  <si>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</si>
  <si>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</si>
  <si>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</si>
  <si>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</si>
  <si>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</si>
  <si>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</si>
  <si>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</si>
  <si>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</si>
  <si>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</si>
  <si>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</si>
  <si>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</si>
  <si>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</si>
  <si>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</si>
  <si>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</si>
  <si>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</si>
  <si>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</si>
  <si>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</si>
  <si>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</si>
  <si>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CATARROJA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</si>
</sst>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Azn5lEqttTpsGQsjZznr4fHB6So7ACuVDXMMJfNstW7QXapLrXve1fbqjlKptofFzfOVeznLhNvldbPDiji8g==" saltValue="sCOuWhGF8HK4sxB6WXfq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CATARROJA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2977</v>
      </c>
      <c r="D12" s="404">
        <f>IF(ISNUMBER(C12/Datos!BH12),C12/Datos!BH12," - ")</f>
        <v>595.4</v>
      </c>
      <c r="E12" s="403">
        <f>IF(ISNUMBER(IF(J_V="SI",Datos!J12,Datos!J12+Datos!Z12)),IF(J_V="SI",Datos!J12,Datos!J12+Datos!Z12)," - ")</f>
        <v>2060</v>
      </c>
      <c r="F12" s="404">
        <f>IF(ISNUMBER(E12/B12),E12/B12," - ")</f>
        <v>412</v>
      </c>
      <c r="G12" s="403">
        <f>IF(ISNUMBER(IF(J_V="SI",Datos!K12,Datos!K12+Datos!AA12)),IF(J_V="SI",Datos!K12,Datos!K12+Datos!AA12)," - ")</f>
        <v>1663</v>
      </c>
      <c r="H12" s="404">
        <f>IF(ISNUMBER(G12/B12),G12/B12," - ")</f>
        <v>332.6</v>
      </c>
      <c r="I12" s="403">
        <f>IF(ISNUMBER(IF(J_V="SI",Datos!L12,Datos!L12+Datos!AB12)),IF(J_V="SI",Datos!L12,Datos!L12+Datos!AB12)," - ")</f>
        <v>3374</v>
      </c>
      <c r="J12" s="404">
        <f>IF(ISNUMBER(I12/B12),I12/B12," - ")</f>
        <v>674.8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2979</v>
      </c>
      <c r="D13" s="850" t="str">
        <f>IF(ISNUMBER(C13/Datos!BI13),C13/Datos!BI13," - ")</f>
        <v xml:space="preserve"> - </v>
      </c>
      <c r="E13" s="849">
        <f>SUBTOTAL(9,E8:E12)</f>
        <v>2060</v>
      </c>
      <c r="F13" s="850">
        <f>IF(ISNUMBER(E13/B13),E13/B13," - ")</f>
        <v>412</v>
      </c>
      <c r="G13" s="849">
        <f>SUBTOTAL(9,G8:G12)</f>
        <v>1664</v>
      </c>
      <c r="H13" s="850">
        <f>IF(ISNUMBER(G13/B13),G13/B13," - ")</f>
        <v>332.8</v>
      </c>
      <c r="I13" s="849">
        <f>SUBTOTAL(9,I8:I12)</f>
        <v>3375</v>
      </c>
      <c r="J13" s="850">
        <f>IF(ISNUMBER(I13/B13),I13/B13," - ")</f>
        <v>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1088</v>
      </c>
      <c r="D16" s="404">
        <f>IF(ISNUMBER(C16/Datos!BH16),C16/Datos!BH16," - ")</f>
        <v>217.6</v>
      </c>
      <c r="E16" s="403">
        <f>IF(ISNUMBER(IF(D_I="SI",Datos!J16,Datos!J16+Datos!AD16)),IF(D_I="SI",Datos!J16,Datos!J16+Datos!AD16)," - ")</f>
        <v>1331</v>
      </c>
      <c r="F16" s="404">
        <f>IF(ISNUMBER(E16/B16),E16/B16," - ")</f>
        <v>266.2</v>
      </c>
      <c r="G16" s="403">
        <f>IF(ISNUMBER(IF(D_I="SI",Datos!K16,Datos!K16+Datos!AE16)),IF(D_I="SI",Datos!K16,Datos!K16+Datos!AE16)," - ")</f>
        <v>1328</v>
      </c>
      <c r="H16" s="404">
        <f>IF(ISNUMBER(G16/B16),G16/B16," - ")</f>
        <v>265.60000000000002</v>
      </c>
      <c r="I16" s="403">
        <f>IF(ISNUMBER(IF(D_I="SI",Datos!L16,Datos!L16+Datos!AF16)),IF(D_I="SI",Datos!L16,Datos!L16+Datos!AF16)," - ")</f>
        <v>1091</v>
      </c>
      <c r="J16" s="404">
        <f>IF(ISNUMBER(I16/B16),I16/B16," - ")</f>
        <v>218.2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0</v>
      </c>
      <c r="F17" s="404">
        <f>IF(ISNUMBER(E17/B17),E17/B17," - ")</f>
        <v>0</v>
      </c>
      <c r="G17" s="403">
        <f>IF(ISNUMBER(IF(D_I="SI",Datos!K17,Datos!K17+Datos!AE17)),IF(D_I="SI",Datos!K17,Datos!K17+Datos!AE17)," - ")</f>
        <v>3</v>
      </c>
      <c r="H17" s="404">
        <f>IF(ISNUMBER(G17/B17),G17/B17," - ")</f>
        <v>3</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1102</v>
      </c>
      <c r="D18" s="850" t="str">
        <f>IF(ISNUMBER(C18/Datos!BI18),C18/Datos!BI18," - ")</f>
        <v xml:space="preserve"> - </v>
      </c>
      <c r="E18" s="849">
        <f>SUBTOTAL(9,E14:E17)</f>
        <v>1331</v>
      </c>
      <c r="F18" s="850">
        <f>IF(ISNUMBER(E18/B18),E18/B18," - ")</f>
        <v>266.2</v>
      </c>
      <c r="G18" s="849">
        <f>SUBTOTAL(9,G14:G17)</f>
        <v>1331</v>
      </c>
      <c r="H18" s="850">
        <f>IF(ISNUMBER(G18/B18),G18/B18," - ")</f>
        <v>266.2</v>
      </c>
      <c r="I18" s="849">
        <f>SUBTOTAL(9,I14:I17)</f>
        <v>1110</v>
      </c>
      <c r="J18" s="850">
        <f>IF(ISNUMBER(I18/B18),I18/B18," - ")</f>
        <v>222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4081</v>
      </c>
      <c r="D19" s="795" t="str">
        <f>IF(ISNUMBER(C19/Datos!BI19),C19/Datos!BI19," - ")</f>
        <v xml:space="preserve"> - </v>
      </c>
      <c r="E19" s="794">
        <f>SUBTOTAL(9,E9:E18)</f>
        <v>3391</v>
      </c>
      <c r="F19" s="795">
        <f>IF(ISNUMBER(E19/B19),E19/B19," - ")</f>
        <v>678.2</v>
      </c>
      <c r="G19" s="794">
        <f>SUBTOTAL(9,G9:G18)</f>
        <v>2995</v>
      </c>
      <c r="H19" s="795">
        <f>IF(ISNUMBER(G19/B19),G19/B19," - ")</f>
        <v>599</v>
      </c>
      <c r="I19" s="794">
        <f>SUBTOTAL(9,I9:I18)</f>
        <v>4485</v>
      </c>
      <c r="J19" s="795">
        <f>IF(ISNUMBER(I19/B19),I19/B19," - ")</f>
        <v>897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uL7xOYG6vKDdd07QsROAZj1USLxpKNv1cndD+BatXkP/eQN16a8pmPAtJfZ+gOmTBFjuNK7i/5grxEEuEvtRw==" saltValue="n3q80krnZ2yJ1FKfc8sr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CATARROJA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tnxYwBTgqUhwXTUpoOrOM3/qJcFdRVNJdjsHdHxk/4z0NqpKxWoRH9CEUBkFJlnB8GMEqUzf4+9x40ZsN6LD8A==" saltValue="k9+c7oE2DqFLmy2Y4dEf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CATARROJA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374</v>
      </c>
      <c r="E12" s="404">
        <f t="shared" si="0"/>
        <v>74.8</v>
      </c>
      <c r="F12" s="403">
        <f>IF(ISNUMBER(Datos!N12),Datos!N12," - ")</f>
        <v>725</v>
      </c>
      <c r="G12" s="404">
        <f t="shared" si="1"/>
        <v>145</v>
      </c>
      <c r="H12" s="403">
        <f>IF(ISNUMBER(Datos!O12),Datos!O12," - ")</f>
        <v>674</v>
      </c>
      <c r="I12" s="404">
        <f t="shared" si="2"/>
        <v>134.80000000000001</v>
      </c>
      <c r="BZ12" s="1186">
        <f>Datos!EZ12</f>
        <v>0</v>
      </c>
    </row>
    <row r="13" spans="1:78" ht="14.25" thickTop="1" thickBot="1">
      <c r="A13" s="848" t="str">
        <f>Datos!A13</f>
        <v>TOTAL</v>
      </c>
      <c r="B13" s="849">
        <f>Datos!AP13</f>
        <v>5</v>
      </c>
      <c r="C13" s="851">
        <f>Datos!AR13</f>
        <v>5</v>
      </c>
      <c r="D13" s="849">
        <f>SUBTOTAL(9,D9:D12)</f>
        <v>374</v>
      </c>
      <c r="E13" s="850">
        <f t="shared" si="0"/>
        <v>74.8</v>
      </c>
      <c r="F13" s="849">
        <f>SUBTOTAL(9,F9:F12)</f>
        <v>728</v>
      </c>
      <c r="G13" s="850">
        <f t="shared" si="1"/>
        <v>145.6</v>
      </c>
      <c r="H13" s="849">
        <f>SUBTOTAL(9,H9:H12)</f>
        <v>674</v>
      </c>
      <c r="I13" s="850">
        <f>IF(ISNUMBER(H13/B13),H13/B13," - ")</f>
        <v>134.80000000000001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207</v>
      </c>
      <c r="E16" s="404">
        <f t="shared" si="3"/>
        <v>41.4</v>
      </c>
      <c r="F16" s="403">
        <f>IF(ISNUMBER(Datos!N16),Datos!N16," - ")</f>
        <v>652</v>
      </c>
      <c r="G16" s="404">
        <f t="shared" si="4"/>
        <v>130.4</v>
      </c>
      <c r="H16" s="403">
        <f>IF(ISNUMBER(Datos!O16),Datos!O16," - ")</f>
        <v>28</v>
      </c>
      <c r="I16" s="404">
        <f t="shared" si="5"/>
        <v>5.6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207</v>
      </c>
      <c r="E18" s="850">
        <f t="shared" si="3"/>
        <v>41.4</v>
      </c>
      <c r="F18" s="849">
        <f>SUBTOTAL(9,F15:F17)</f>
        <v>652</v>
      </c>
      <c r="G18" s="850">
        <f t="shared" si="4"/>
        <v>130.4</v>
      </c>
      <c r="H18" s="849">
        <f>SUBTOTAL(9,H15:H17)</f>
        <v>28</v>
      </c>
      <c r="I18" s="850">
        <f>IF(ISNUMBER(H18/B18),H18/B18," - ")</f>
        <v>5.6</v>
      </c>
      <c r="BZ18" s="1186"/>
    </row>
    <row r="19" spans="1:78" ht="14.25" thickTop="1" thickBot="1">
      <c r="A19" s="793" t="str">
        <f>Datos!A19</f>
        <v>TOTAL JURISDICCIONES</v>
      </c>
      <c r="B19" s="794">
        <f>Datos!AP19</f>
        <v>5</v>
      </c>
      <c r="C19" s="794">
        <f>Datos!AR19</f>
        <v>5</v>
      </c>
      <c r="D19" s="794">
        <f>SUBTOTAL(9,D8:D18)</f>
        <v>581</v>
      </c>
      <c r="E19" s="795">
        <f>IF(ISNUMBER(D19/B19),D19/B19," - ")</f>
        <v>116.2</v>
      </c>
      <c r="F19" s="794">
        <f>SUBTOTAL(9,F8:F18)</f>
        <v>1380</v>
      </c>
      <c r="G19" s="795">
        <f>IF(ISNUMBER(F19/B19),F19/B19," - ")</f>
        <v>276</v>
      </c>
      <c r="H19" s="794">
        <f>SUBTOTAL(9,H8:H18)</f>
        <v>702</v>
      </c>
      <c r="I19" s="795">
        <f>IF(ISNUMBER(H19/B19),H19/B19," - ")</f>
        <v>140.4</v>
      </c>
    </row>
    <row r="22" spans="1:78">
      <c r="A22" s="391" t="str">
        <f>Criterios!A4</f>
        <v>Fecha Informe: 24 sep. 2024</v>
      </c>
    </row>
    <row r="27" spans="1:78">
      <c r="A27" s="414"/>
    </row>
  </sheetData>
  <sheetProtection algorithmName="SHA-512" hashValue="e9WatRJj3QFuhK55p+iFkhQ596SHqDt9Pni7eYUtKLa2H4jO3OMkyzUvha7W5TZo1l0atLY6dyDK/4I9zf29pw==" saltValue="TSxLQPVa68tPU1VheC+10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CATARROJA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428</v>
      </c>
      <c r="C12" s="434">
        <f>IF(ISNUMBER(Datos!Q12),Datos!Q12," - ")</f>
        <v>160</v>
      </c>
      <c r="D12" s="408">
        <f>IF(ISNUMBER(Datos!R12),Datos!R12," - ")</f>
        <v>5665</v>
      </c>
    </row>
    <row r="13" spans="1:4" ht="14.25" thickTop="1" thickBot="1">
      <c r="A13" s="848" t="str">
        <f>Datos!A13</f>
        <v>TOTAL</v>
      </c>
      <c r="B13" s="849">
        <f>SUBTOTAL(9,B9:B12)</f>
        <v>428</v>
      </c>
      <c r="C13" s="853">
        <f>SUBTOTAL(9,C9:C12)</f>
        <v>162</v>
      </c>
      <c r="D13" s="851">
        <f>SUBTOTAL(9,D9:D12)</f>
        <v>5673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87</v>
      </c>
      <c r="C16" s="434">
        <f>IF(ISNUMBER(Datos!Q16),Datos!Q16," - ")</f>
        <v>45</v>
      </c>
      <c r="D16" s="408">
        <f>IF(ISNUMBER(Datos!R16),Datos!R16," - ")</f>
        <v>278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87</v>
      </c>
      <c r="C18" s="853">
        <f>SUBTOTAL(9,C15:C17)</f>
        <v>45</v>
      </c>
      <c r="D18" s="851">
        <f>SUBTOTAL(9,D15:D17)</f>
        <v>278</v>
      </c>
    </row>
    <row r="19" spans="1:4" ht="16.5" customHeight="1" thickTop="1" thickBot="1">
      <c r="A19" s="793" t="str">
        <f>Datos!A19</f>
        <v>TOTAL JURISDICCIONES</v>
      </c>
      <c r="B19" s="798">
        <f>SUBTOTAL(9,B8:B18)</f>
        <v>515</v>
      </c>
      <c r="C19" s="799">
        <f>SUBTOTAL(9,C8:C18)</f>
        <v>207</v>
      </c>
      <c r="D19" s="800">
        <f>SUBTOTAL(9,D8:D18)</f>
        <v>5951</v>
      </c>
    </row>
    <row r="20" spans="1:4" ht="7.5" customHeight="1"/>
    <row r="21" spans="1:4" ht="6" customHeight="1"/>
    <row r="22" spans="1:4">
      <c r="A22" s="391" t="str">
        <f>Criterios!A4</f>
        <v>Fecha Informe: 24 sep. 2024</v>
      </c>
    </row>
    <row r="27" spans="1:4">
      <c r="A27" s="414"/>
    </row>
  </sheetData>
  <sheetProtection algorithmName="SHA-512" hashValue="ks6ZGpD6/LNcCXchsNp7QpQHh4hLuef4J+2BTLbPw3XYidZobvgmGihrrrRDRhOsSscL05OvJrhTi0aoy44N4w==" saltValue="4hBR2ZkIerMsZpA8vMBM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CATARROJA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-0.92592592592592593</v>
      </c>
      <c r="C10" s="456" t="str">
        <f>IF(ISNUMBER((Datos!J10-Datos!T10)/Datos!T10),(Datos!J10-Datos!T10)/Datos!T10," - ")</f>
        <v xml:space="preserve"> - </v>
      </c>
      <c r="D10" s="456">
        <f>IF(ISNUMBER((Datos!K10-Datos!U10)/Datos!U10),(Datos!K10-Datos!U10)/Datos!U10," - ")</f>
        <v>-0.8</v>
      </c>
      <c r="E10" s="456">
        <f>IF(ISNUMBER((Datos!L10-Datos!V10)/Datos!V10),(Datos!L10-Datos!V10)/Datos!V10," - ")</f>
        <v>-0.95454545454545459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-0.77272727272727271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-0.62962962962962965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-4.5527412632253926E-2</v>
      </c>
      <c r="C12" s="456">
        <f>IF(ISNUMBER(
   IF(J_V="SI",(Datos!J12-Datos!T12)/Datos!T12,(Datos!J12+Datos!Z12-(Datos!T12+Datos!AH12))/(Datos!T12+Datos!AH12))
     ),IF(J_V="SI",(Datos!J12-Datos!T12)/Datos!T12,(Datos!J12+Datos!Z12-(Datos!T12+Datos!AH12))/(Datos!T12+Datos!AH12))," - ")</f>
        <v>0.57131960335621668</v>
      </c>
      <c r="D12" s="456">
        <f>IF(ISNUMBER(
   IF(J_V="SI",(Datos!K12-Datos!U12)/Datos!U12,(Datos!K12+Datos!AA12-(Datos!U12+Datos!AI12))/(Datos!U12+Datos!AI12))
     ),IF(J_V="SI",(Datos!K12-Datos!U12)/Datos!U12,(Datos!K12+Datos!AA12-(Datos!U12+Datos!AI12))/(Datos!U12+Datos!AI12))," - ")</f>
        <v>0.20419985517740769</v>
      </c>
      <c r="E12" s="456">
        <f>IF(ISNUMBER(
   IF(J_V="SI",(Datos!L12-Datos!V12)/Datos!V12,(Datos!L12+Datos!AB12-(Datos!V12+Datos!AJ12))/(Datos!V12+Datos!AJ12))
     ),IF(J_V="SI",(Datos!L12-Datos!V12)/Datos!V12,(Datos!L12+Datos!AB12-(Datos!V12+Datos!AJ12))/(Datos!V12+Datos!AJ12))," - ")</f>
        <v>0.10659232535257461</v>
      </c>
      <c r="F12" s="456">
        <f>IF(ISNUMBER((Datos!M12-Datos!W12)/Datos!W12),(Datos!M12-Datos!W12)/Datos!W12," - ")</f>
        <v>1.3374999999999999</v>
      </c>
      <c r="G12" s="457">
        <f>IF(ISNUMBER((Datos!N12-Datos!X12)/Datos!X12),(Datos!N12-Datos!X12)/Datos!X12," - ")</f>
        <v>0.8542199488491049</v>
      </c>
      <c r="H12" s="455">
        <f>IF(ISNUMBER(((NºAsuntos!G12/NºAsuntos!E12)-Datos!BD12)/Datos!BD12),((NºAsuntos!G12/NºAsuntos!E12)-Datos!BD12)/Datos!BD12," - ")</f>
        <v>-0.23363785915651386</v>
      </c>
      <c r="I12" s="456">
        <f>IF(ISNUMBER(((NºAsuntos!I12/NºAsuntos!G12)-Datos!BE12)/Datos!BE12),((NºAsuntos!I12/NºAsuntos!G12)-Datos!BE12)/Datos!BE12," - ")</f>
        <v>-8.1055922241788592E-2</v>
      </c>
      <c r="J12" s="461">
        <f>IF(ISNUMBER((('Resol  Asuntos'!D12/NºAsuntos!G12)-Datos!BF12)/Datos!BF12),(('Resol  Asuntos'!D12/NºAsuntos!G12)-Datos!BF12)/Datos!BF12," - ")</f>
        <v>-0.20567857983215246</v>
      </c>
      <c r="K12" s="462">
        <f>IF(ISNUMBER((((NºAsuntos!C12+NºAsuntos!E12)/NºAsuntos!G12)-Datos!BG12)/Datos!BG12),(((NºAsuntos!C12+NºAsuntos!E12)/NºAsuntos!G12)-Datos!BG12)/Datos!BG12," - ")</f>
        <v>-5.578769907792628E-2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-5.308328035600763E-2</v>
      </c>
      <c r="C13" s="855">
        <f>IF(ISNUMBER(
   IF(J_V="SI",(Datos!J13-Datos!T13)/Datos!T13,(Datos!J13+Datos!Z13-(Datos!T13+Datos!AH13))/(Datos!T13+Datos!AH13))
     ),IF(J_V="SI",(Datos!J13-Datos!T13)/Datos!T13,(Datos!J13+Datos!Z13-(Datos!T13+Datos!AH13))/(Datos!T13+Datos!AH13))," - ")</f>
        <v>0.57131960335621668</v>
      </c>
      <c r="D13" s="855">
        <f>IF(ISNUMBER(
   IF(J_V="SI",(Datos!K13-Datos!U13)/Datos!U13,(Datos!K13+Datos!AA13-(Datos!U13+Datos!AI13))/(Datos!U13+Datos!AI13))
     ),IF(J_V="SI",(Datos!K13-Datos!U13)/Datos!U13,(Datos!K13+Datos!AA13-(Datos!U13+Datos!AI13))/(Datos!U13+Datos!AI13))," - ")</f>
        <v>0.20057720057720058</v>
      </c>
      <c r="E13" s="855">
        <f>IF(ISNUMBER(
   IF(J_V="SI",(Datos!L13-Datos!V13)/Datos!V13,(Datos!L13+Datos!AB13-(Datos!V13+Datos!AJ13))/(Datos!V13+Datos!AJ13))
     ),IF(J_V="SI",(Datos!L13-Datos!V13)/Datos!V13,(Datos!L13+Datos!AB13-(Datos!V13+Datos!AJ13))/(Datos!V13+Datos!AJ13))," - ")</f>
        <v>9.8990556821882125E-2</v>
      </c>
      <c r="F13" s="856">
        <f>IF(ISNUMBER((Datos!M13-Datos!W13)/Datos!W13),(Datos!M13-Datos!W13)/Datos!W13," - ")</f>
        <v>1.3374999999999999</v>
      </c>
      <c r="G13" s="857">
        <f>IF(ISNUMBER((Datos!N13-Datos!X13)/Datos!X13),(Datos!N13-Datos!X13)/Datos!X13," - ")</f>
        <v>0.86189258312020456</v>
      </c>
      <c r="H13" s="857">
        <f>IF(ISNUMBER(((NºAsuntos!G13/NºAsuntos!E13)-Datos!BD13)/Datos!BD13),((NºAsuntos!G13/NºAsuntos!E13)-Datos!BD13)/Datos!BD13," - ")</f>
        <v>-0.23594334468120876</v>
      </c>
      <c r="I13" s="857">
        <f>IF(ISNUMBER(((NºAsuntos!I13/NºAsuntos!G13)-Datos!BE13)/Datos!BE13),((NºAsuntos!I13/NºAsuntos!G13)-Datos!BE13)/Datos!BE13," - ")</f>
        <v>-8.461483668561974E-2</v>
      </c>
      <c r="J13" s="857">
        <f>IF(ISNUMBER((('Resol  Asuntos'!D13/NºAsuntos!G13)-Datos!BF13)/Datos!BF13),(('Resol  Asuntos'!D13/NºAsuntos!G13)-Datos!BF13)/Datos!BF13," - ")</f>
        <v>-0.20328177257525074</v>
      </c>
      <c r="K13" s="857">
        <f>IF(ISNUMBER((((NºAsuntos!C13+NºAsuntos!E13)/NºAsuntos!G13)-Datos!BG13)/Datos!BG13),(((NºAsuntos!C13+NºAsuntos!E13)/NºAsuntos!G13)-Datos!BG13)/Datos!BG13," - ")</f>
        <v>-5.8302033534112237E-2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-0.17886792452830189</v>
      </c>
      <c r="C16" s="456">
        <f>IF(ISNUMBER(
   IF(D_I="SI",(Datos!J16-Datos!T16)/Datos!T16,(Datos!J16+Datos!AD16-(Datos!T16+Datos!AL16))/(Datos!T16+Datos!AL16))
     ),IF(D_I="SI",(Datos!J16-Datos!T16)/Datos!T16,(Datos!J16+Datos!AD16-(Datos!T16+Datos!AL16))/(Datos!T16+Datos!AL16))," - ")</f>
        <v>0.52812858783008032</v>
      </c>
      <c r="D16" s="456">
        <f>IF(ISNUMBER(
   IF(D_I="SI",(Datos!K16-Datos!U16)/Datos!U16,(Datos!K16+Datos!AE16-(Datos!U16+Datos!AM16))/(Datos!U16+Datos!AM16))
     ),IF(D_I="SI",(Datos!K16-Datos!U16)/Datos!U16,(Datos!K16+Datos!AE16-(Datos!U16+Datos!AM16))/(Datos!U16+Datos!AM16))," - ")</f>
        <v>0.7427821522309711</v>
      </c>
      <c r="E16" s="456">
        <f>IF(ISNUMBER(
   IF(D_I="SI",(Datos!L16-Datos!V16)/Datos!V16,(Datos!L16+Datos!AF16-(Datos!V16+Datos!AN16))/(Datos!V16+Datos!AN16))
     ),IF(D_I="SI",(Datos!L16-Datos!V16)/Datos!V16,(Datos!L16+Datos!AF16-(Datos!V16+Datos!AN16))/(Datos!V16+Datos!AN16))," - ")</f>
        <v>-0.23919107391910741</v>
      </c>
      <c r="F16" s="456">
        <f>IF(ISNUMBER((Datos!M16-Datos!W16)/Datos!W16),(Datos!M16-Datos!W16)/Datos!W16," - ")</f>
        <v>0.34415584415584416</v>
      </c>
      <c r="G16" s="457">
        <f>IF(ISNUMBER((Datos!N16-Datos!X16)/Datos!X16),(Datos!N16-Datos!X16)/Datos!X16," - ")</f>
        <v>0.62189054726368154</v>
      </c>
      <c r="H16" s="455">
        <f>IF(ISNUMBER(((NºAsuntos!G16/NºAsuntos!E16)-Datos!BD16)/Datos!BD16),((NºAsuntos!G16/NºAsuntos!E16)-Datos!BD16)/Datos!BD16," - ")</f>
        <v>0.14046826040058288</v>
      </c>
      <c r="I16" s="456">
        <f>IF(ISNUMBER(((NºAsuntos!I16/NºAsuntos!G16)-Datos!BE16)/Datos!BE16),((NºAsuntos!I16/NºAsuntos!G16)-Datos!BE16)/Datos!BE16," - ")</f>
        <v>-0.56345150476382522</v>
      </c>
      <c r="J16" s="461">
        <f>IF(ISNUMBER((('Resol  Asuntos'!D16/NºAsuntos!G16)-Datos!BF16)/Datos!BF16),(('Resol  Asuntos'!D16/NºAsuntos!G16)-Datos!BF16)/Datos!BF16," - ")</f>
        <v>-0.22872985448286659</v>
      </c>
      <c r="K16" s="462">
        <f>IF(ISNUMBER((((NºAsuntos!C16+NºAsuntos!E16)/NºAsuntos!G16)-Datos!BG16)/Datos!BG16),(((NºAsuntos!C16+NºAsuntos!E16)/NºAsuntos!G16)-Datos!BG16)/Datos!BG16," - ")</f>
        <v>-0.36793691158074932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-0.77777777777777779</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-0.69841269841269837</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-0.20605187319884727</v>
      </c>
      <c r="C18" s="855">
        <f>IF(ISNUMBER(
   IF(Criterios!B14="SI",(Datos!J18-Datos!T18)/Datos!T18,(Datos!J18+Datos!AD18-(Datos!T18+Datos!AL18))/(Datos!T18+Datos!AL18))
     ),IF(Criterios!B14="SI",(Datos!J18-Datos!T18)/Datos!T18,(Datos!J18+Datos!AD18-(Datos!T18+Datos!AL18))/(Datos!T18+Datos!AL18))," - ")</f>
        <v>0.52812858783008032</v>
      </c>
      <c r="D18" s="855">
        <f>IF(ISNUMBER(
   IF(Criterios!B14="SI",(Datos!K18-Datos!U18)/Datos!U18,(Datos!K18+Datos!AE18-(Datos!U18+Datos!AM18))/(Datos!U18+Datos!AM18))
     ),IF(Criterios!B14="SI",(Datos!K18-Datos!U18)/Datos!U18,(Datos!K18+Datos!AE18-(Datos!U18+Datos!AM18))/(Datos!U18+Datos!AM18))," - ")</f>
        <v>0.74671916010498685</v>
      </c>
      <c r="E18" s="855">
        <f>IF(ISNUMBER(
   IF(Criterios!B14="SI",(Datos!L18-Datos!V18)/Datos!V18,(Datos!L18+Datos!AF18-(Datos!V18+Datos!AN18))/(Datos!V18+Datos!AN18))
     ),IF(Criterios!B14="SI",(Datos!L18-Datos!V18)/Datos!V18,(Datos!L18+Datos!AF18-(Datos!V18+Datos!AN18))/(Datos!V18+Datos!AN18))," - ")</f>
        <v>-0.25851703406813625</v>
      </c>
      <c r="F18" s="856">
        <f>IF(ISNUMBER((Datos!M18-Datos!W18)/Datos!W18),(Datos!M18-Datos!W18)/Datos!W18," - ")</f>
        <v>0.34415584415584416</v>
      </c>
      <c r="G18" s="857">
        <f>IF(ISNUMBER((Datos!N18-Datos!X18)/Datos!X18),(Datos!N18-Datos!X18)/Datos!X18," - ")</f>
        <v>0.62189054726368154</v>
      </c>
      <c r="H18" s="857">
        <f>IF(ISNUMBER(((NºAsuntos!G18/NºAsuntos!E18)-Datos!BD18)/Datos!BD18),((NºAsuntos!G18/NºAsuntos!E18)-Datos!BD18)/Datos!BD18," - ")</f>
        <v>0.14304461942257218</v>
      </c>
      <c r="I18" s="857">
        <f>IF(ISNUMBER(((NºAsuntos!I18/NºAsuntos!G18)-Datos!BE18)/Datos!BE18),((NºAsuntos!I18/NºAsuntos!G18)-Datos!BE18)/Datos!BE18," - ")</f>
        <v>-0.57549960928619071</v>
      </c>
      <c r="J18" s="857">
        <f>IF(ISNUMBER((('Resol  Asuntos'!D18/NºAsuntos!G18)-Datos!BF18)/Datos!BF18),(('Resol  Asuntos'!D18/NºAsuntos!G18)-Datos!BF18)/Datos!BF18," - ")</f>
        <v>-0.23046825451032824</v>
      </c>
      <c r="K18" s="857">
        <f>IF(ISNUMBER((((NºAsuntos!C18+NºAsuntos!E18)/NºAsuntos!G18)-Datos!BG18)/Datos!BG18),(((NºAsuntos!C18+NºAsuntos!E18)/NºAsuntos!G18)-Datos!BG18)/Datos!BG18," - ")</f>
        <v>-0.38340103148637605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-9.9911777679752983E-2</v>
      </c>
      <c r="C19" s="802">
        <f>IF(ISNUMBER(
   IF(J_V="SI",(Datos!J19-Datos!T19)/Datos!T19,(Datos!J19+Datos!Z19-(Datos!T19+Datos!AH19))/(Datos!T19+Datos!AH19))
     ),IF(J_V="SI",(Datos!J19-Datos!T19)/Datos!T19,(Datos!J19+Datos!Z19-(Datos!T19+Datos!AH19))/(Datos!T19+Datos!AH19))," - ")</f>
        <v>0.55407882676443632</v>
      </c>
      <c r="D19" s="802">
        <f>IF(ISNUMBER(
   IF(J_V="SI",(Datos!K19-Datos!U19)/Datos!U19,(Datos!K19+Datos!AA19-(Datos!U19+Datos!AI19))/(Datos!U19+Datos!AI19))
     ),IF(J_V="SI",(Datos!K19-Datos!U19)/Datos!U19,(Datos!K19+Datos!AA19-(Datos!U19+Datos!AI19))/(Datos!U19+Datos!AI19))," - ")</f>
        <v>0.39432029795158285</v>
      </c>
      <c r="E19" s="802">
        <f>IF(ISNUMBER(
   IF(J_V="SI",(Datos!L19-Datos!V19)/Datos!V19,(Datos!L19+Datos!AB19-(Datos!V19+Datos!AJ19))/(Datos!V19+Datos!AJ19))
     ),IF(J_V="SI",(Datos!L19-Datos!V19)/Datos!V19,(Datos!L19+Datos!AB19-(Datos!V19+Datos!AJ19))/(Datos!V19+Datos!AJ19))," - ")</f>
        <v>-1.8169877408056041E-2</v>
      </c>
      <c r="F19" s="803">
        <f>IF(ISNUMBER((Datos!M19-Datos!W19)/Datos!W19),(Datos!M19-Datos!W19)/Datos!W19," - ")</f>
        <v>0.85031847133757965</v>
      </c>
      <c r="G19" s="804">
        <f>IF(ISNUMBER((Datos!N19-Datos!X19)/Datos!X19),(Datos!N19-Datos!X19)/Datos!X19," - ")</f>
        <v>0.74022698612862547</v>
      </c>
      <c r="H19" s="805">
        <f>IF(ISNUMBER((Tasas!B19-Datos!BD19)/Datos!BD19),(Tasas!B19-Datos!BD19)/Datos!BD19," - ")</f>
        <v>-0.10279950158349933</v>
      </c>
      <c r="I19" s="806">
        <f>IF(ISNUMBER((Tasas!C19-Datos!BE19)/Datos!BE19),(Tasas!C19-Datos!BE19)/Datos!BE19," - ")</f>
        <v>-0.29583602560016842</v>
      </c>
      <c r="J19" s="807">
        <f>IF(ISNUMBER((Tasas!D19-Datos!BF19)/Datos!BF19),(Tasas!D19-Datos!BF19)/Datos!BF19," - ")</f>
        <v>-0.23543030432984638</v>
      </c>
      <c r="K19" s="807">
        <f>IF(ISNUMBER((Tasas!E19-Datos!BG19)/Datos!BG19),(Tasas!E19-Datos!BG19)/Datos!BG19," - ")</f>
        <v>-0.2020721452569848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Qy4aCYgaJ9f5zfeUYu/GcRzf7Elcpxg/KZxD47x4k6QcTWoEHugxGNu2p1U6ha0RbhAbEuGc/kwB709akxGDg==" saltValue="9VHOWsZHQhL2LN19jYah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CATARROJA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0.80728155339805829</v>
      </c>
      <c r="C12" s="443">
        <f>IF(ISNUMBER(NºAsuntos!I12/NºAsuntos!G12),NºAsuntos!I12/NºAsuntos!G12," - ")</f>
        <v>2.0288634996993387</v>
      </c>
      <c r="D12" s="444">
        <f>IF(ISNUMBER('Resol  Asuntos'!D12/NºAsuntos!G12),'Resol  Asuntos'!D12/NºAsuntos!G12," - ")</f>
        <v>0.22489476849067949</v>
      </c>
      <c r="E12" s="445">
        <f>IF(ISNUMBER((NºAsuntos!C12+NºAsuntos!E12)/NºAsuntos!G12),(NºAsuntos!C12+NºAsuntos!E12)/NºAsuntos!G12," - ")</f>
        <v>3.0288634996993387</v>
      </c>
      <c r="G12" s="463"/>
    </row>
    <row r="13" spans="1:7" ht="14.25" thickTop="1" thickBot="1">
      <c r="A13" s="848" t="str">
        <f>Datos!A13</f>
        <v>TOTAL</v>
      </c>
      <c r="B13" s="858">
        <f>IF(ISNUMBER(NºAsuntos!G13/NºAsuntos!E13),NºAsuntos!G13/NºAsuntos!E13," - ")</f>
        <v>0.80776699029126209</v>
      </c>
      <c r="C13" s="859">
        <f>IF(ISNUMBER(NºAsuntos!I13/NºAsuntos!G13),NºAsuntos!I13/NºAsuntos!G13," - ")</f>
        <v>2.0282451923076925</v>
      </c>
      <c r="D13" s="860">
        <f>IF(ISNUMBER('Resol  Asuntos'!D13/NºAsuntos!G13),'Resol  Asuntos'!D13/NºAsuntos!G13," - ")</f>
        <v>0.22475961538461539</v>
      </c>
      <c r="E13" s="861">
        <f>IF(ISNUMBER((NºAsuntos!C13+NºAsuntos!E13)/NºAsuntos!G13),(NºAsuntos!C13+NºAsuntos!E13)/NºAsuntos!G13," - ")</f>
        <v>3.0282451923076925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0.99774605559729523</v>
      </c>
      <c r="C16" s="443">
        <f>IF(ISNUMBER(NºAsuntos!I16/NºAsuntos!G16),NºAsuntos!I16/NºAsuntos!G16," - ")</f>
        <v>0.82153614457831325</v>
      </c>
      <c r="D16" s="444">
        <f>IF(ISNUMBER('Resol  Asuntos'!D16/NºAsuntos!G16),'Resol  Asuntos'!D16/NºAsuntos!G16," - ")</f>
        <v>0.15587349397590361</v>
      </c>
      <c r="E16" s="445">
        <f>IF(ISNUMBER((NºAsuntos!C16+NºAsuntos!E16)/NºAsuntos!G16),(NºAsuntos!C16+NºAsuntos!E16)/NºAsuntos!G16," - ")</f>
        <v>1.8215361445783131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6.333333333333333</v>
      </c>
      <c r="D17" s="444">
        <f>IF(ISNUMBER('Resol  Asuntos'!D17/NºAsuntos!G17),'Resol  Asuntos'!D17/NºAsuntos!G17," - ")</f>
        <v>0</v>
      </c>
      <c r="E17" s="445">
        <f>IF(ISNUMBER((NºAsuntos!C17+NºAsuntos!E17)/NºAsuntos!G17),(NºAsuntos!C17+NºAsuntos!E17)/NºAsuntos!G17," - ")</f>
        <v>4.666666666666667</v>
      </c>
      <c r="G17" s="463"/>
    </row>
    <row r="18" spans="1:7" ht="14.25" thickTop="1" thickBot="1">
      <c r="A18" s="848" t="str">
        <f>Datos!A18</f>
        <v>TOTAL</v>
      </c>
      <c r="B18" s="858">
        <f>IF(ISNUMBER(NºAsuntos!G18/NºAsuntos!E18),NºAsuntos!G18/NºAsuntos!E18," - ")</f>
        <v>1</v>
      </c>
      <c r="C18" s="859">
        <f>IF(ISNUMBER(NºAsuntos!I18/NºAsuntos!G18),NºAsuntos!I18/NºAsuntos!G18," - ")</f>
        <v>0.83395942900075126</v>
      </c>
      <c r="D18" s="862">
        <f>IF(ISNUMBER('Resol  Asuntos'!D18/NºAsuntos!G18),'Resol  Asuntos'!D18/NºAsuntos!G18," - ")</f>
        <v>0.15552216378662659</v>
      </c>
      <c r="E18" s="861">
        <f>IF(ISNUMBER((NºAsuntos!C18+NºAsuntos!E18)/NºAsuntos!G18),(NºAsuntos!C18+NºAsuntos!E18)/NºAsuntos!G18," - ")</f>
        <v>1.8279489105935387</v>
      </c>
      <c r="G18" s="463"/>
    </row>
    <row r="19" spans="1:7" ht="15.75" customHeight="1" thickTop="1" thickBot="1">
      <c r="A19" s="793" t="str">
        <f>Datos!A19</f>
        <v>TOTAL JURISDICCIONES</v>
      </c>
      <c r="B19" s="808">
        <f>IF(ISNUMBER(NºAsuntos!G19/NºAsuntos!E19),NºAsuntos!G19/NºAsuntos!E19," - ")</f>
        <v>0.88322028900029492</v>
      </c>
      <c r="C19" s="809">
        <f>IF(ISNUMBER(NºAsuntos!I19/NºAsuntos!G19),NºAsuntos!I19/NºAsuntos!G19," - ")</f>
        <v>1.4974958263772955</v>
      </c>
      <c r="D19" s="810">
        <f>IF(ISNUMBER('Resol  Asuntos'!D19/NºAsuntos!G19),'Resol  Asuntos'!D19/NºAsuntos!G19," - ")</f>
        <v>0.19398998330550918</v>
      </c>
      <c r="E19" s="811">
        <f>IF(ISNUMBER((NºAsuntos!C19+NºAsuntos!E19)/NºAsuntos!G19),(NºAsuntos!C19+NºAsuntos!E19)/NºAsuntos!G19," - ")</f>
        <v>2.4948247078464107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ABgn/6L6nGbVjOwZyMDMxfEBUxBr2rwMHJwTlWeZ1lMPoMtrjtgpREAKM5iEtn9pxkweRuAwLrPNr5abibQGw==" saltValue="m6PFtUshfiijdNyEsXCc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CATARROJA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2</v>
      </c>
      <c r="Y10" s="334">
        <f t="shared" ref="Y10:Y12" si="0">SUM(W10:X10)</f>
        <v>3</v>
      </c>
      <c r="Z10" s="335" t="str">
        <f>IF(ISNUMBER(Datos!CC10),Datos!CC10," - ")</f>
        <v xml:space="preserve"> - </v>
      </c>
      <c r="AA10" s="332">
        <f>IF(ISNUMBER(Datos!L10),Datos!L10,"-")</f>
        <v>1</v>
      </c>
      <c r="AB10" s="334">
        <f>IF(ISNUMBER(Datos!R10),Datos!R10," - ")</f>
        <v>8</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160</v>
      </c>
      <c r="Y12" s="334">
        <f t="shared" si="0"/>
        <v>160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374</v>
      </c>
      <c r="AJ12" s="229" t="str">
        <f>IF(ISNUMBER(Datos!BW12),Datos!BW12," - ")</f>
        <v xml:space="preserve"> - </v>
      </c>
      <c r="AK12" s="228" t="str">
        <f>IF(ISNUMBER(Datos!BX12),Datos!BX12," - ")</f>
        <v xml:space="preserve"> - </v>
      </c>
      <c r="AL12" s="243">
        <f>IF(ISNUMBER(NºAsuntos!G12/NºAsuntos!E12),NºAsuntos!G12/NºAsuntos!E12," - ")</f>
        <v>0.80728155339805829</v>
      </c>
      <c r="AM12" s="260">
        <f>IF(ISNUMBER(((NºAsuntos!I12/NºAsuntos!G12)*11)/factor_trimestre),((NºAsuntos!I12/NºAsuntos!G12)*11)/factor_trimestre," - ")</f>
        <v>6.0865904990980164</v>
      </c>
      <c r="AN12" s="244">
        <f>IF(ISNUMBER('Resol  Asuntos'!D12/NºAsuntos!G12),'Resol  Asuntos'!D12/NºAsuntos!G12," - ")</f>
        <v>0.22489476849067949</v>
      </c>
      <c r="AO12" s="245">
        <f>IF(ISNUMBER((NºAsuntos!C12+NºAsuntos!E12)/NºAsuntos!G12),(NºAsuntos!C12+NºAsuntos!E12)/NºAsuntos!G12," - ")</f>
        <v>3.0288634996993387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v>
      </c>
      <c r="G13" s="866">
        <f t="shared" si="3"/>
        <v>2</v>
      </c>
      <c r="H13" s="865">
        <f t="shared" si="3"/>
        <v>0</v>
      </c>
      <c r="I13" s="867">
        <f t="shared" si="3"/>
        <v>0</v>
      </c>
      <c r="J13" s="867">
        <f t="shared" si="3"/>
        <v>0</v>
      </c>
      <c r="K13" s="867">
        <f t="shared" si="3"/>
        <v>0</v>
      </c>
      <c r="L13" s="867">
        <f t="shared" si="3"/>
        <v>428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162</v>
      </c>
      <c r="Y13" s="868">
        <f t="shared" si="4"/>
        <v>163</v>
      </c>
      <c r="Z13" s="868">
        <f t="shared" si="4"/>
        <v>0</v>
      </c>
      <c r="AA13" s="868">
        <f t="shared" si="4"/>
        <v>1</v>
      </c>
      <c r="AB13" s="868">
        <f t="shared" si="4"/>
        <v>5673</v>
      </c>
      <c r="AC13" s="868">
        <f t="shared" si="4"/>
        <v>9</v>
      </c>
      <c r="AD13" s="868">
        <f t="shared" si="4"/>
        <v>0</v>
      </c>
      <c r="AE13" s="872">
        <f t="shared" si="4"/>
        <v>0</v>
      </c>
      <c r="AF13" s="865">
        <f t="shared" si="4"/>
        <v>0</v>
      </c>
      <c r="AG13" s="873">
        <f t="shared" si="4"/>
        <v>0</v>
      </c>
      <c r="AH13" s="870">
        <f t="shared" si="4"/>
        <v>0</v>
      </c>
      <c r="AI13" s="865">
        <f t="shared" si="4"/>
        <v>374</v>
      </c>
      <c r="AJ13" s="867">
        <f t="shared" si="4"/>
        <v>0</v>
      </c>
      <c r="AK13" s="870">
        <f>SUBTOTAL(9,AK9:AK12)</f>
        <v>0</v>
      </c>
      <c r="AL13" s="874">
        <f>IF(ISNUMBER(NºAsuntos!G13/NºAsuntos!E13),NºAsuntos!G13/NºAsuntos!E13," - ")</f>
        <v>0.80776699029126209</v>
      </c>
      <c r="AM13" s="874">
        <f>IF(ISNUMBER(((NºAsuntos!I13/NºAsuntos!G13)*11)/factor_trimestre),((NºAsuntos!I13/NºAsuntos!G13)*11)/factor_trimestre," - ")</f>
        <v>6.0847355769230775</v>
      </c>
      <c r="AN13" s="875">
        <f>IF(ISNUMBER('Resol  Asuntos'!D13/NºAsuntos!G13),'Resol  Asuntos'!D13/NºAsuntos!G13," - ")</f>
        <v>0.22475961538461539</v>
      </c>
      <c r="AO13" s="876">
        <f>IF(ISNUMBER((NºAsuntos!C13+NºAsuntos!E13)/NºAsuntos!G13),(NºAsuntos!C13+NºAsuntos!E13)/NºAsuntos!G13," - ")</f>
        <v>3.0282451923076925</v>
      </c>
      <c r="AP13" s="877" t="str">
        <f t="shared" si="2"/>
        <v xml:space="preserve"> - </v>
      </c>
      <c r="AQ13" s="877">
        <f>IF(ISNUMBER((H13-W13+K13)/(F13)),(H13-W13+K13)/(F13)," - ")</f>
        <v>-0.5</v>
      </c>
      <c r="AR13" s="878">
        <f>IF(ISNUMBER((Datos!P13-Datos!Q13)/(Datos!R13-Datos!P13+Datos!Q13)),(Datos!P13-Datos!Q13)/(Datos!R13-Datos!P13+Datos!Q13)," - ")</f>
        <v>4.9195487331237284E-2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1088</v>
      </c>
      <c r="G16" s="333">
        <f>IF(ISNUMBER(IF(D_I="SI",Datos!I16,Datos!I16+Datos!AC16)),IF(D_I="SI",Datos!I16,Datos!I16+Datos!AC16)," - ")</f>
        <v>1088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1328</v>
      </c>
      <c r="X16" s="226">
        <f>IF(ISNUMBER(Datos!Q16),Datos!Q16," - ")</f>
        <v>45</v>
      </c>
      <c r="Y16" s="334">
        <f t="shared" ref="Y16:Y17" si="7">SUM(W16:X16)</f>
        <v>1373</v>
      </c>
      <c r="Z16" s="335" t="str">
        <f>IF(ISNUMBER(Datos!CC16),Datos!CC16," - ")</f>
        <v xml:space="preserve"> - </v>
      </c>
      <c r="AA16" s="332">
        <f>IF(ISNUMBER(IF(D_I="SI",Datos!L16,Datos!L16+Datos!AF16)),IF(D_I="SI",Datos!L16,Datos!L16+Datos!AF16)," - ")</f>
        <v>1091</v>
      </c>
      <c r="AB16" s="334">
        <f>IF(ISNUMBER(Datos!R16),Datos!R16," - ")</f>
        <v>278</v>
      </c>
      <c r="AC16" s="334">
        <f t="shared" si="6"/>
        <v>1369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207</v>
      </c>
      <c r="AJ16" s="231" t="str">
        <f>IF(ISNUMBER(Datos!BW16),Datos!BW16," - ")</f>
        <v xml:space="preserve"> - </v>
      </c>
      <c r="AK16" s="232" t="str">
        <f>IF(ISNUMBER(Datos!BX16),Datos!BX16," - ")</f>
        <v xml:space="preserve"> - </v>
      </c>
      <c r="AL16" s="243">
        <f>IF(ISNUMBER(NºAsuntos!G16/NºAsuntos!E16),NºAsuntos!G16/NºAsuntos!E16," - ")</f>
        <v>0.99774605559729523</v>
      </c>
      <c r="AM16" s="260">
        <f>IF(ISNUMBER(((NºAsuntos!I16/NºAsuntos!G16)*11)/factor_trimestre),((NºAsuntos!I16/NºAsuntos!G16)*11)/factor_trimestre," - ")</f>
        <v>2.4646084337349401</v>
      </c>
      <c r="AN16" s="244">
        <f>IF(ISNUMBER('Resol  Asuntos'!D16/NºAsuntos!G16),'Resol  Asuntos'!D16/NºAsuntos!G16," - ")</f>
        <v>0.15587349397590361</v>
      </c>
      <c r="AO16" s="245">
        <f>IF(ISNUMBER((NºAsuntos!C16+NºAsuntos!E16)/NºAsuntos!G16),(NºAsuntos!C16+NºAsuntos!E16)/NºAsuntos!G16," - ")</f>
        <v>1.8215361445783131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18.999999999999996</v>
      </c>
      <c r="AN17" s="244">
        <f>IF(ISNUMBER('Resol  Asuntos'!D17/NºAsuntos!G17),'Resol  Asuntos'!D17/NºAsuntos!G17," - ")</f>
        <v>0</v>
      </c>
      <c r="AO17" s="245">
        <f>IF(ISNUMBER((NºAsuntos!C17+NºAsuntos!E17)/NºAsuntos!G17),(NºAsuntos!C17+NºAsuntos!E17)/NºAsuntos!G17," - ")</f>
        <v>4.666666666666667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1088</v>
      </c>
      <c r="G18" s="866">
        <f>SUBTOTAL(9,G15:G17)</f>
        <v>1102</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1331</v>
      </c>
      <c r="X18" s="867">
        <f t="shared" si="11"/>
        <v>45</v>
      </c>
      <c r="Y18" s="868">
        <f t="shared" si="11"/>
        <v>1376</v>
      </c>
      <c r="Z18" s="868">
        <f t="shared" si="11"/>
        <v>0</v>
      </c>
      <c r="AA18" s="868">
        <f t="shared" si="11"/>
        <v>1110</v>
      </c>
      <c r="AB18" s="868">
        <f t="shared" si="11"/>
        <v>278</v>
      </c>
      <c r="AC18" s="868">
        <f t="shared" si="11"/>
        <v>1388</v>
      </c>
      <c r="AD18" s="868">
        <f t="shared" si="11"/>
        <v>0</v>
      </c>
      <c r="AE18" s="872">
        <f t="shared" si="11"/>
        <v>0</v>
      </c>
      <c r="AF18" s="865">
        <f t="shared" si="11"/>
        <v>0</v>
      </c>
      <c r="AG18" s="873">
        <f t="shared" si="11"/>
        <v>0</v>
      </c>
      <c r="AH18" s="870">
        <f t="shared" si="11"/>
        <v>0</v>
      </c>
      <c r="AI18" s="865">
        <f t="shared" si="11"/>
        <v>207</v>
      </c>
      <c r="AJ18" s="867">
        <f t="shared" si="11"/>
        <v>0</v>
      </c>
      <c r="AK18" s="870">
        <f t="shared" si="11"/>
        <v>0</v>
      </c>
      <c r="AL18" s="874">
        <f>IF(ISNUMBER(NºAsuntos!G18/NºAsuntos!E18),NºAsuntos!G18/NºAsuntos!E18," - ")</f>
        <v>1</v>
      </c>
      <c r="AM18" s="874">
        <f>IF(ISNUMBER(((NºAsuntos!I18/NºAsuntos!G18)*11)/factor_trimestre),((NºAsuntos!I18/NºAsuntos!G18)*11)/factor_trimestre," - ")</f>
        <v>2.501878287002254</v>
      </c>
      <c r="AN18" s="875">
        <f>IF(ISNUMBER('Resol  Asuntos'!D18/NºAsuntos!G18),'Resol  Asuntos'!D18/NºAsuntos!G18," - ")</f>
        <v>0.15552216378662659</v>
      </c>
      <c r="AO18" s="876">
        <f>IF(ISNUMBER((NºAsuntos!C18+NºAsuntos!E18)/NºAsuntos!G18),(NºAsuntos!C18+NºAsuntos!E18)/NºAsuntos!G18," - ")</f>
        <v>1.8279489105935387</v>
      </c>
      <c r="AP18" s="877" t="str">
        <f t="shared" si="2"/>
        <v xml:space="preserve"> - </v>
      </c>
      <c r="AQ18" s="877">
        <f>IF(ISNUMBER((H18-W18+K18)/(F18)),(H18-W18+K18)/(F18)," - ")</f>
        <v>-1.2233455882352942</v>
      </c>
      <c r="AR18" s="878">
        <f>IF(ISNUMBER((Datos!P18-Datos!Q18)/(Datos!R18-Datos!P18+Datos!Q18)),(Datos!P18-Datos!Q18)/(Datos!R18-Datos!P18+Datos!Q18)," - ")</f>
        <v>0.17796610169491525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1090</v>
      </c>
      <c r="G19" s="821">
        <f t="shared" si="13"/>
        <v>1104</v>
      </c>
      <c r="H19" s="820">
        <f t="shared" si="13"/>
        <v>0</v>
      </c>
      <c r="I19" s="822">
        <f t="shared" si="13"/>
        <v>0</v>
      </c>
      <c r="J19" s="822">
        <f t="shared" si="13"/>
        <v>0</v>
      </c>
      <c r="K19" s="881">
        <f t="shared" si="13"/>
        <v>0</v>
      </c>
      <c r="L19" s="822">
        <f t="shared" si="13"/>
        <v>515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1332</v>
      </c>
      <c r="X19" s="821">
        <f t="shared" si="14"/>
        <v>207</v>
      </c>
      <c r="Y19" s="828">
        <f t="shared" si="14"/>
        <v>1539</v>
      </c>
      <c r="Z19" s="828">
        <f t="shared" si="14"/>
        <v>0</v>
      </c>
      <c r="AA19" s="828">
        <f t="shared" si="14"/>
        <v>1111</v>
      </c>
      <c r="AB19" s="828">
        <f t="shared" si="14"/>
        <v>5951</v>
      </c>
      <c r="AC19" s="828">
        <f t="shared" si="14"/>
        <v>1397</v>
      </c>
      <c r="AD19" s="828">
        <f t="shared" si="14"/>
        <v>0</v>
      </c>
      <c r="AE19" s="830">
        <f t="shared" si="14"/>
        <v>0</v>
      </c>
      <c r="AF19" s="831">
        <f t="shared" si="14"/>
        <v>0</v>
      </c>
      <c r="AG19" s="832">
        <f t="shared" si="14"/>
        <v>0</v>
      </c>
      <c r="AH19" s="830">
        <f t="shared" si="14"/>
        <v>0</v>
      </c>
      <c r="AI19" s="820">
        <f t="shared" si="14"/>
        <v>581</v>
      </c>
      <c r="AJ19" s="820">
        <f t="shared" si="14"/>
        <v>0</v>
      </c>
      <c r="AK19" s="830">
        <f t="shared" si="14"/>
        <v>0</v>
      </c>
      <c r="AL19" s="884">
        <f>IF(ISNUMBER(NºAsuntos!G19/NºAsuntos!E19),NºAsuntos!G19/NºAsuntos!E19," - ")</f>
        <v>0.88322028900029492</v>
      </c>
      <c r="AM19" s="885">
        <f>IF(ISNUMBER(((NºAsuntos!I19/NºAsuntos!G19)*11)/factor_trimestre),((NºAsuntos!I19/NºAsuntos!G19)*11)/factor_trimestre," - ")</f>
        <v>4.4924874791318867</v>
      </c>
      <c r="AN19" s="885">
        <f>IF(ISNUMBER('Resol  Asuntos'!D19/NºAsuntos!G19),'Resol  Asuntos'!D19/NºAsuntos!G19," - ")</f>
        <v>0.19398998330550918</v>
      </c>
      <c r="AO19" s="886">
        <f>IF(ISNUMBER((NºAsuntos!C19+NºAsuntos!E19)/NºAsuntos!G19),(NºAsuntos!C19+NºAsuntos!E19)/NºAsuntos!G19," - ")</f>
        <v>2.4948247078464107</v>
      </c>
      <c r="AP19" s="887" t="str">
        <f t="shared" si="2"/>
        <v xml:space="preserve"> - </v>
      </c>
      <c r="AQ19" s="888">
        <f>IF(OR(ISNUMBER(FIND("01",Criterios!A8,1)),ISNUMBER(FIND("02",Criterios!A8,1)),ISNUMBER(FIND("03",Criterios!A8,1)),ISNUMBER(FIND("04",Criterios!A8,1))),(I19-W19+K19)/(F19-K19),(H19-W19+K19)/(F19-K19))</f>
        <v>-1.2220183486238532</v>
      </c>
      <c r="AR19" s="889">
        <f>IF(ISNUMBER((Datos!P19-Datos!Q19)/(Datos!R19-Datos!P19+Datos!Q19)),(Datos!P19-Datos!Q19)/(Datos!R19-Datos!P19+Datos!Q19)," - ")</f>
        <v>5.4580896686159841E-2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627.00239233993364</v>
      </c>
      <c r="G21" s="253">
        <f>IF(ISNUMBER(STDEV(G8:G18)),STDEV(G8:G18),"-")</f>
        <v>596.51051960548023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727.28550102418512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167.57645021501878</v>
      </c>
      <c r="AJ21" s="252">
        <f t="shared" si="18"/>
        <v>0</v>
      </c>
      <c r="AK21" s="254">
        <f t="shared" si="18"/>
        <v>0</v>
      </c>
      <c r="AL21" s="249">
        <f t="shared" si="18"/>
        <v>0.11047926556947532</v>
      </c>
      <c r="AM21" s="250">
        <f t="shared" si="18"/>
        <v>6.3420745641634459</v>
      </c>
      <c r="AN21" s="250">
        <f t="shared" si="18"/>
        <v>0.10300035939350667</v>
      </c>
      <c r="AO21" s="251">
        <f t="shared" si="18"/>
        <v>1.1046123789035744</v>
      </c>
      <c r="AP21" s="291" t="str">
        <f t="shared" si="18"/>
        <v>-</v>
      </c>
      <c r="AQ21" s="292">
        <f t="shared" si="18"/>
        <v>0.51148257058254865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Bya+XET1HRIAuJBLR84LVtAMI3LI1TLhYNiO1Z7vIZG7hq2xC/AnLFSMEjLzy4rRl5YVc9GyRZLzEUa/NWDEA==" saltValue="zyB/pOoetpSOlVjlOmrJ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CATARROJA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-0.92592592592592593</v>
      </c>
      <c r="E10" s="348" t="str">
        <f>IF(ISNUMBER((Datos!J10-Datos!T10)/Datos!T10),(Datos!J10-Datos!T10)/Datos!T10," - ")</f>
        <v xml:space="preserve"> - </v>
      </c>
      <c r="F10" s="348">
        <f>IF(ISNUMBER((Datos!K10-Datos!U10)/Datos!U10),(Datos!K10-Datos!U10)/Datos!U10," - ")</f>
        <v>-0.8</v>
      </c>
      <c r="G10" s="349">
        <f>IF(ISNUMBER((Datos!L10-Datos!V10)/Datos!V10),(Datos!L10-Datos!V10)/Datos!V10," - ")</f>
        <v>-0.95454545454545459</v>
      </c>
      <c r="H10" s="230" t="str">
        <f>IF(ISNUMBER((Datos!M10-Datos!W10)/Datos!W10),(Datos!M10-Datos!W10)/Datos!W10," - ")</f>
        <v xml:space="preserve"> - </v>
      </c>
      <c r="I10" s="350">
        <f>IF(ISNUMBER((Tasas!C10-Datos!BE10)/Datos!BE10),(Tasas!C10-Datos!BE10)/Datos!BE10," - ")</f>
        <v>-0.77272727272727271</v>
      </c>
      <c r="J10" s="349" t="str">
        <f>IF(ISNUMBER((Tasas!D10-Datos!BF10)/Datos!BF10),(Tasas!D10-Datos!BF10)/Datos!BF10," - ")</f>
        <v xml:space="preserve"> - </v>
      </c>
      <c r="K10" s="351">
        <f>IF(ISNUMBER((Tasas!E10-Datos!BG10)/Datos!BG10),(Tasas!E10-Datos!BG10)/Datos!BG10," - ")</f>
        <v>-0.62962962962962965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1.3374999999999999</v>
      </c>
      <c r="I12" s="350">
        <f>IF(ISNUMBER((Tasas!C12-Datos!BE12)/Datos!BE12),(Tasas!C12-Datos!BE12)/Datos!BE12," - ")</f>
        <v>-8.1055922241788592E-2</v>
      </c>
      <c r="J12" s="349">
        <f>IF(ISNUMBER((Tasas!D12-Datos!BF12)/Datos!BF12),(Tasas!D12-Datos!BF12)/Datos!BF12," - ")</f>
        <v>-0.20567857983215246</v>
      </c>
      <c r="K12" s="351">
        <f>IF(ISNUMBER((Tasas!E12-Datos!BG12)/Datos!BG12),(Tasas!E12-Datos!BG12)/Datos!BG12," - ")</f>
        <v>-5.578769907792628E-2</v>
      </c>
      <c r="M12" t="e">
        <f>IF(Monitorios="SI",Datos!CE12,0)</f>
        <v>#REF!</v>
      </c>
      <c r="N12" t="e">
        <f>IF(Monitorios="SI",Datos!CF12,0)</f>
        <v>#REF!</v>
      </c>
      <c r="O12" t="e">
        <f>IF(Monitorios="SI",Datos!CG12,0)</f>
        <v>#REF!</v>
      </c>
      <c r="P12" t="e">
        <f>IF(Monitorios="SI",Datos!CH12,0)</f>
        <v>#REF!</v>
      </c>
      <c r="Q12">
        <f>IF(J_V="SI",0,Datos!AG12)</f>
        <v>145</v>
      </c>
      <c r="R12">
        <f>IF(J_V="SI",0,Datos!AH12)</f>
        <v>91</v>
      </c>
      <c r="S12">
        <f>IF(J_V="SI",0,Datos!AI12)</f>
        <v>112</v>
      </c>
      <c r="T12">
        <f>IF(J_V="SI",0,Datos!AJ12)</f>
        <v>124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1.3374999999999999</v>
      </c>
      <c r="I13" s="357">
        <f>IF(ISNUMBER((Tasas!C13-Datos!BE13)/Datos!BE13),(Tasas!C13-Datos!BE13)/Datos!BE13," - ")</f>
        <v>-8.461483668561974E-2</v>
      </c>
      <c r="J13" s="355">
        <f>IF(ISNUMBER((Tasas!D13-Datos!BF13)/Datos!BF13),(Tasas!D13-Datos!BF13)/Datos!BF13," - ")</f>
        <v>-0.20328177257525074</v>
      </c>
      <c r="K13" s="358">
        <f>IF(ISNUMBER((Tasas!E13-Datos!BG13)/Datos!BG13),(Tasas!E13-Datos!BG13)/Datos!BG13," - ")</f>
        <v>-5.8302033534112237E-2</v>
      </c>
      <c r="M13" t="e">
        <f>IF(Monitorios="SI",Datos!CE13,0)</f>
        <v>#REF!</v>
      </c>
      <c r="N13" t="e">
        <f>IF(Monitorios="SI",Datos!CF13,0)</f>
        <v>#REF!</v>
      </c>
      <c r="O13" t="e">
        <f>IF(Monitorios="SI",Datos!CG13,0)</f>
        <v>#REF!</v>
      </c>
      <c r="P13" t="e">
        <f>IF(Monitorios="SI",Datos!CH13,0)</f>
        <v>#REF!</v>
      </c>
      <c r="Q13">
        <f>IF(J_V="SI",0,Datos!AG13)</f>
        <v>145</v>
      </c>
      <c r="R13">
        <f>IF(J_V="SI",0,Datos!AH13)</f>
        <v>91</v>
      </c>
      <c r="S13">
        <f>IF(J_V="SI",0,Datos!AI13)</f>
        <v>112</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-0.17886792452830189</v>
      </c>
      <c r="E16" s="348">
        <f>IF(ISNUMBER(
   IF(D_I="SI",(Datos!J16-Datos!T16)/Datos!T16,(Datos!J16+Datos!AD16-(Datos!T16+Datos!AL16))/(Datos!T16+Datos!AL16))
     ),IF(D_I="SI",(Datos!J16-Datos!T16)/Datos!T16,(Datos!J16+Datos!AD16-(Datos!T16+Datos!AL16))/(Datos!T16+Datos!AL16))," - ")</f>
        <v>0.52812858783008032</v>
      </c>
      <c r="F16" s="348">
        <f>IF(ISNUMBER(
   IF(D_I="SI",(Datos!K16-Datos!U16)/Datos!U16,(Datos!K16+Datos!AE16-(Datos!U16+Datos!AM16))/(Datos!U16+Datos!AM16))
     ),IF(D_I="SI",(Datos!K16-Datos!U16)/Datos!U16,(Datos!K16+Datos!AE16-(Datos!U16+Datos!AM16))/(Datos!U16+Datos!AM16))," - ")</f>
        <v>0.7427821522309711</v>
      </c>
      <c r="G16" s="349">
        <f>IF(ISNUMBER(
   IF(D_I="SI",(Datos!L16-Datos!V16)/Datos!V16,(Datos!L16+Datos!AF16-(Datos!V16+Datos!AN16))/(Datos!V16+Datos!AN16))
     ),IF(D_I="SI",(Datos!L16-Datos!V16)/Datos!V16,(Datos!L16+Datos!AF16-(Datos!V16+Datos!AN16))/(Datos!V16+Datos!AN16))," - ")</f>
        <v>-0.23919107391910741</v>
      </c>
      <c r="H16" s="230">
        <f>IF(ISNUMBER((Datos!M16-Datos!W16)/Datos!W16),(Datos!M16-Datos!W16)/Datos!W16," - ")</f>
        <v>0.34415584415584416</v>
      </c>
      <c r="I16" s="350">
        <f>IF(ISNUMBER((Tasas!C16-Datos!BE16)/Datos!BE16),(Tasas!C16-Datos!BE16)/Datos!BE16," - ")</f>
        <v>-0.56345150476382522</v>
      </c>
      <c r="J16" s="349">
        <f>IF(ISNUMBER((Tasas!D16-Datos!BF16)/Datos!BF16),(Tasas!D16-Datos!BF16)/Datos!BF16," - ")</f>
        <v>-0.22872985448286659</v>
      </c>
      <c r="K16" s="351">
        <f>IF(ISNUMBER((Tasas!E16-Datos!BG16)/Datos!BG16),(Tasas!E16-Datos!BG16)/Datos!BG16," - ")</f>
        <v>-0.36793691158074932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-0.77777777777777779</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-0.69841269841269837</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-0.20605187319884727</v>
      </c>
      <c r="E18" s="354">
        <f>IF(ISNUMBER(
   IF(D_I="SI",(Datos!J18-Datos!T18)/Datos!T18,(Datos!J18+Datos!AD18-(Datos!T18+Datos!AL18))/(Datos!T18+Datos!AL18))
     ),IF(D_I="SI",(Datos!J18-Datos!T18)/Datos!T18,(Datos!J18+Datos!AD18-(Datos!T18+Datos!AL18))/(Datos!T18+Datos!AL18))," - ")</f>
        <v>0.52812858783008032</v>
      </c>
      <c r="F18" s="354">
        <f>IF(ISNUMBER(
   IF(D_I="SI",(Datos!K18-Datos!U18)/Datos!U18,(Datos!K18+Datos!AE18-(Datos!U18+Datos!AM18))/(Datos!U18+Datos!AM18))
     ),IF(D_I="SI",(Datos!K18-Datos!U18)/Datos!U18,(Datos!K18+Datos!AE18-(Datos!U18+Datos!AM18))/(Datos!U18+Datos!AM18))," - ")</f>
        <v>0.74671916010498685</v>
      </c>
      <c r="G18" s="355">
        <f>IF(ISNUMBER(
   IF(D_I="SI",(Datos!L18-Datos!V18)/Datos!V18,(Datos!L18+Datos!AF18-(Datos!V18+Datos!AN18))/(Datos!V18+Datos!AN18))
     ),IF(D_I="SI",(Datos!L18-Datos!V18)/Datos!V18,(Datos!L18+Datos!AF18-(Datos!V18+Datos!AN18))/(Datos!V18+Datos!AN18))," - ")</f>
        <v>-0.25851703406813625</v>
      </c>
      <c r="H18" s="356">
        <f>IF(ISNUMBER((Datos!M18-Datos!W18)/Datos!W18),(Datos!M18-Datos!W18)/Datos!W18," - ")</f>
        <v>0.34415584415584416</v>
      </c>
      <c r="I18" s="357">
        <f>IF(ISNUMBER((Tasas!C18-Datos!BE18)/Datos!BE18),(Tasas!C18-Datos!BE18)/Datos!BE18," - ")</f>
        <v>-0.57549960928619071</v>
      </c>
      <c r="J18" s="355">
        <f>IF(ISNUMBER((Tasas!D18-Datos!BF18)/Datos!BF18),(Tasas!D18-Datos!BF18)/Datos!BF18," - ")</f>
        <v>-0.23046825451032824</v>
      </c>
      <c r="K18" s="358">
        <f>IF(ISNUMBER((Tasas!E18-Datos!BG18)/Datos!BG18),(Tasas!E18-Datos!BG18)/Datos!BG18," - ")</f>
        <v>-0.38340103148637605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-9.9911777679752983E-2</v>
      </c>
      <c r="E19" s="363">
        <f>IF(ISNUMBER(
   IF(J_V="SI",(Datos!J19-Datos!T19)/Datos!T19,(Datos!J19+Datos!Z19-(Datos!T19+Datos!AH19))/(Datos!T19+Datos!AH19))
     ),IF(J_V="SI",(Datos!J19-Datos!T19)/Datos!T19,(Datos!J19+Datos!Z19-(Datos!T19+Datos!AH19))/(Datos!T19+Datos!AH19))," - ")</f>
        <v>0.55407882676443632</v>
      </c>
      <c r="F19" s="363">
        <f>IF(ISNUMBER(
   IF(J_V="SI",(Datos!K19-Datos!U19)/Datos!U19,(Datos!K19+Datos!AA19-(Datos!U19+Datos!AI19))/(Datos!U19+Datos!AI19))
     ),IF(J_V="SI",(Datos!K19-Datos!U19)/Datos!U19,(Datos!K19+Datos!AA19-(Datos!U19+Datos!AI19))/(Datos!U19+Datos!AI19))," - ")</f>
        <v>0.39432029795158285</v>
      </c>
      <c r="G19" s="364">
        <f>IF(ISNUMBER(
   IF(J_V="SI",(Datos!L19-Datos!V19)/Datos!V19,(Datos!L19+Datos!AB19-(Datos!V19+Datos!AJ19))/(Datos!V19+Datos!AJ19))
     ),IF(J_V="SI",(Datos!L19-Datos!V19)/Datos!V19,(Datos!L19+Datos!AB19-(Datos!V19+Datos!AJ19))/(Datos!V19+Datos!AJ19))," - ")</f>
        <v>-1.8169877408056041E-2</v>
      </c>
      <c r="H19" s="365">
        <f>IF(ISNUMBER((Datos!M19-Datos!W19)/Datos!W19),(Datos!M19-Datos!W19)/Datos!W19," - ")</f>
        <v>0.85031847133757965</v>
      </c>
      <c r="I19" s="362">
        <f>IF(ISNUMBER((Tasas!C19-Datos!BE19)/Datos!BE19),(Tasas!C19-Datos!BE19)/Datos!BE19," - ")</f>
        <v>-0.29583602560016842</v>
      </c>
      <c r="J19" s="363">
        <f>IF(ISNUMBER((Tasas!D19-Datos!BF19)/Datos!BF19),(Tasas!D19-Datos!BF19)/Datos!BF19," - ")</f>
        <v>-0.23543030432984638</v>
      </c>
      <c r="K19" s="364">
        <f>IF(ISNUMBER((Tasas!E19-Datos!BG19)/Datos!BG19),(Tasas!E19-Datos!BG19)/Datos!BG19," - ")</f>
        <v>-0.2020721452569848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0.3856341824830965</v>
      </c>
      <c r="E21" s="278">
        <f t="shared" si="1"/>
        <v>0</v>
      </c>
      <c r="F21" s="278">
        <f t="shared" si="1"/>
        <v>0.89186437959192211</v>
      </c>
      <c r="G21" s="279">
        <f t="shared" si="1"/>
        <v>0.34958995377977897</v>
      </c>
      <c r="H21" s="285">
        <f t="shared" si="1"/>
        <v>0.57350751577456494</v>
      </c>
      <c r="I21" s="277">
        <f t="shared" si="1"/>
        <v>0.31481688130225011</v>
      </c>
      <c r="J21" s="278">
        <f t="shared" si="1"/>
        <v>1.4552679095094717E-2</v>
      </c>
      <c r="K21" s="279">
        <f t="shared" si="1"/>
        <v>0.24406941512975655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a0GshZPyAV1xKqYeTmzEW4zRSfCGzAz7eLtsGKFGoCHJjL96+kMoD9LXdeP5G01VCP+azPDmM5oo6X+/0wTnA==" saltValue="P+rjFpzaIJ2yC3gOLGsA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22.317498496692725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1088</v>
      </c>
      <c r="D16" s="225">
        <f>IF(ISNUMBER(IF(D_I="SI",Datos!I16,Datos!I16+Datos!AC16)),IF(D_I="SI",Datos!I16,Datos!I16+Datos!AC16)," - ")</f>
        <v>1088</v>
      </c>
      <c r="E16" s="226">
        <f>IF(ISNUMBER(IF(D_I="SI",Datos!J16,Datos!J16+Datos!AD16)),IF(D_I="SI",Datos!J16,Datos!J16+Datos!AD16)," - ")</f>
        <v>1331</v>
      </c>
      <c r="F16" s="226">
        <f>IF(ISNUMBER(IF(D_I="SI",Datos!K16,Datos!K16+Datos!AE16)),IF(D_I="SI",Datos!K16,Datos!K16+Datos!AE16)," - ")</f>
        <v>1328</v>
      </c>
      <c r="G16" s="1034" t="str">
        <f>IF(Datos!E16&lt;&gt;"",Datos!E16,Datos!D16)</f>
        <v>04</v>
      </c>
      <c r="H16" s="227">
        <f>IF(ISNUMBER(IF(D_I="SI",Datos!L16,Datos!L16+Datos!AF16)),IF(D_I="SI",Datos!L16,Datos!L16+Datos!AF16)," - ")</f>
        <v>1091</v>
      </c>
      <c r="I16" s="1044" t="str">
        <f>IF(ISNUMBER(Datos!AS16/Datos!BM16),Datos!AS16/Datos!BM16," - ")</f>
        <v xml:space="preserve"> - </v>
      </c>
      <c r="J16" s="1045">
        <f>IF(ISNUMBER(Datos!BY16/Datos!CN16),Datos!BY16/Datos!CN16," - ")</f>
        <v>0</v>
      </c>
      <c r="K16" s="230">
        <f t="shared" si="3"/>
        <v>2.7573529411764708E-3</v>
      </c>
      <c r="L16" s="1025">
        <f>IF(ISNUMBER(NºAsuntos!I16/NºAsuntos!G16),(NºAsuntos!I16/NºAsuntos!G16)*11," - ")</f>
        <v>9.0368975903614466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14</v>
      </c>
      <c r="E17" s="226">
        <f>IF(ISNUMBER(IF(D_I="SI",Datos!J17,Datos!J17+Datos!AD17)),IF(D_I="SI",Datos!J17,Datos!J17+Datos!AD17)," - ")</f>
        <v>0</v>
      </c>
      <c r="F17" s="226">
        <f>IF(ISNUMBER(IF(D_I="SI",Datos!K17,Datos!K17+Datos!AE17)),IF(D_I="SI",Datos!K17,Datos!K17+Datos!AE17)," - ")</f>
        <v>3</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-0.13636363636363635</v>
      </c>
      <c r="L17" s="1025">
        <f>IF(ISNUMBER(NºAsuntos!I17/NºAsuntos!G17),(NºAsuntos!I17/NºAsuntos!G17)*11," - ")</f>
        <v>69.666666666666657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1110</v>
      </c>
      <c r="D18" s="1049">
        <f>SUBTOTAL(9,D15:D17)</f>
        <v>1102</v>
      </c>
      <c r="E18" s="1050">
        <f>SUBTOTAL(9,E15:E17)</f>
        <v>1331</v>
      </c>
      <c r="F18" s="1050">
        <f>SUBTOTAL(9,F15:F17)</f>
        <v>1331</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1112</v>
      </c>
      <c r="D19" s="1071">
        <f>SUBTOTAL(9,D9:D18)</f>
        <v>1104</v>
      </c>
      <c r="E19" s="1072">
        <f>SUBTOTAL(9,E9:E18)</f>
        <v>1331</v>
      </c>
      <c r="F19" s="1072">
        <f>SUBTOTAL(9,F9:F18)</f>
        <v>1332</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XqoPlr6lDLK2igvgkJ3Q01SjPxdxAc/eLqtSO+Z6NXLP8sCYxw/4rjXU30o3G5kExK6+dg4ymNNRDDf+qgPw==" saltValue="XivfWCniTRALJTIunQwz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tSXvamXKbRgyCRatJ/aHzLC9wVEmR5yMMeT3M5uZgu8wc3JTQBNqBpPT5j9bX0ZE1SKDP8V6wXELmwKJ0JXnQ==" saltValue="jNe6XDAEPAJxMCXGqUAM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0</v>
      </c>
      <c r="N10" s="181">
        <v>3</v>
      </c>
      <c r="O10" s="181">
        <v>0</v>
      </c>
      <c r="P10" s="181">
        <v>0</v>
      </c>
      <c r="Q10" s="181">
        <v>2</v>
      </c>
      <c r="R10" s="181">
        <v>8</v>
      </c>
      <c r="S10" s="181">
        <v>27</v>
      </c>
      <c r="T10" s="181">
        <v>0</v>
      </c>
      <c r="U10" s="181">
        <v>5</v>
      </c>
      <c r="V10" s="181">
        <v>22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0</v>
      </c>
      <c r="BA10" s="129">
        <f t="shared" si="0"/>
        <v>5</v>
      </c>
      <c r="BB10" s="129">
        <f t="shared" si="0"/>
        <v>22</v>
      </c>
      <c r="BC10" s="125">
        <f t="shared" si="0"/>
        <v>0</v>
      </c>
      <c r="BD10" s="126" t="str">
        <f>IF(ISNUMBER(BA10/AZ10),BA10/AZ10," - ")</f>
        <v xml:space="preserve"> - </v>
      </c>
      <c r="BE10" s="127">
        <f>IF(ISNUMBER(BB10/BA10),BB10/BA10, " - ")</f>
        <v>4.4000000000000004</v>
      </c>
      <c r="BF10" s="127">
        <f>IF(ISNUMBER(BC10/BA10),BC10/BA10, " - ")</f>
        <v>0</v>
      </c>
      <c r="BG10" s="196">
        <f>IF(ISNUMBER((AY10+AZ10)/BA10),(AY10+AZ10)/BA10," - ")</f>
        <v>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2902</v>
      </c>
      <c r="J12" s="183">
        <v>1971</v>
      </c>
      <c r="K12" s="183">
        <v>1551</v>
      </c>
      <c r="L12" s="183">
        <v>3322</v>
      </c>
      <c r="M12" s="183">
        <v>374</v>
      </c>
      <c r="N12" s="183">
        <v>725</v>
      </c>
      <c r="O12" s="181">
        <v>674</v>
      </c>
      <c r="P12" s="183">
        <v>428</v>
      </c>
      <c r="Q12" s="183">
        <v>160</v>
      </c>
      <c r="R12" s="183">
        <v>5665</v>
      </c>
      <c r="S12" s="183">
        <v>2974</v>
      </c>
      <c r="T12" s="183">
        <v>1220</v>
      </c>
      <c r="U12" s="183">
        <v>1269</v>
      </c>
      <c r="V12" s="183">
        <v>2925</v>
      </c>
      <c r="W12" s="183">
        <v>160</v>
      </c>
      <c r="X12" s="189">
        <v>391</v>
      </c>
      <c r="Y12" s="191">
        <v>75</v>
      </c>
      <c r="Z12" s="181">
        <v>89</v>
      </c>
      <c r="AA12" s="181">
        <v>112</v>
      </c>
      <c r="AB12" s="181">
        <v>52</v>
      </c>
      <c r="AC12" s="183">
        <v>0</v>
      </c>
      <c r="AD12" s="183">
        <v>0</v>
      </c>
      <c r="AE12" s="183">
        <v>0</v>
      </c>
      <c r="AF12" s="189">
        <v>0</v>
      </c>
      <c r="AG12" s="202">
        <v>145</v>
      </c>
      <c r="AH12" s="183">
        <v>91</v>
      </c>
      <c r="AI12" s="183">
        <v>112</v>
      </c>
      <c r="AJ12" s="203">
        <v>124</v>
      </c>
      <c r="AK12" s="182">
        <v>0</v>
      </c>
      <c r="AL12" s="183">
        <v>0</v>
      </c>
      <c r="AM12" s="183">
        <v>0</v>
      </c>
      <c r="AN12" s="189">
        <v>0</v>
      </c>
      <c r="AO12" s="259">
        <v>5</v>
      </c>
      <c r="AP12" s="155">
        <v>5</v>
      </c>
      <c r="AQ12" s="155">
        <v>5</v>
      </c>
      <c r="AR12" s="154">
        <v>5</v>
      </c>
      <c r="AS12" s="340" t="s">
        <v>802</v>
      </c>
      <c r="AT12" s="203"/>
      <c r="AU12" s="202"/>
      <c r="AV12" s="203"/>
      <c r="AW12" s="202"/>
      <c r="AX12" s="203"/>
      <c r="AY12" s="126">
        <f t="shared" si="1"/>
        <v>3119</v>
      </c>
      <c r="AZ12" s="127">
        <f t="shared" si="1"/>
        <v>1311</v>
      </c>
      <c r="BA12" s="127">
        <f t="shared" si="1"/>
        <v>1381</v>
      </c>
      <c r="BB12" s="127">
        <f t="shared" si="1"/>
        <v>3049</v>
      </c>
      <c r="BC12" s="125">
        <f>IF(ISNUMBER(X12),X12," - ")</f>
        <v>391</v>
      </c>
      <c r="BD12" s="126">
        <f t="shared" si="2"/>
        <v>1.0533943554538521</v>
      </c>
      <c r="BE12" s="127">
        <f t="shared" si="3"/>
        <v>2.2078204199855178</v>
      </c>
      <c r="BF12" s="127">
        <f t="shared" si="4"/>
        <v>0.28312816799420709</v>
      </c>
      <c r="BG12" s="196">
        <f t="shared" si="5"/>
        <v>3.2078204199855178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2904</v>
      </c>
      <c r="J13" s="184">
        <f t="shared" si="6"/>
        <v>1971</v>
      </c>
      <c r="K13" s="184">
        <f t="shared" si="6"/>
        <v>1552</v>
      </c>
      <c r="L13" s="184">
        <f t="shared" si="6"/>
        <v>3323</v>
      </c>
      <c r="M13" s="184">
        <f t="shared" si="6"/>
        <v>374</v>
      </c>
      <c r="N13" s="184">
        <f t="shared" si="6"/>
        <v>728</v>
      </c>
      <c r="O13" s="184">
        <f t="shared" si="6"/>
        <v>674</v>
      </c>
      <c r="P13" s="184">
        <f t="shared" si="6"/>
        <v>428</v>
      </c>
      <c r="Q13" s="184">
        <f t="shared" si="6"/>
        <v>162</v>
      </c>
      <c r="R13" s="184">
        <f t="shared" si="6"/>
        <v>5673</v>
      </c>
      <c r="S13" s="184">
        <f t="shared" si="6"/>
        <v>3001</v>
      </c>
      <c r="T13" s="184">
        <f t="shared" si="6"/>
        <v>1220</v>
      </c>
      <c r="U13" s="184">
        <f t="shared" si="6"/>
        <v>1274</v>
      </c>
      <c r="V13" s="184">
        <f t="shared" si="6"/>
        <v>2947</v>
      </c>
      <c r="W13" s="184">
        <f t="shared" si="6"/>
        <v>160</v>
      </c>
      <c r="X13" s="184">
        <f t="shared" si="6"/>
        <v>391</v>
      </c>
      <c r="Y13" s="184">
        <f t="shared" si="6"/>
        <v>75</v>
      </c>
      <c r="Z13" s="184">
        <f t="shared" si="6"/>
        <v>89</v>
      </c>
      <c r="AA13" s="184">
        <f t="shared" si="6"/>
        <v>112</v>
      </c>
      <c r="AB13" s="184">
        <f t="shared" si="6"/>
        <v>52</v>
      </c>
      <c r="AC13" s="184">
        <f t="shared" si="6"/>
        <v>0</v>
      </c>
      <c r="AD13" s="184">
        <f t="shared" si="6"/>
        <v>0</v>
      </c>
      <c r="AE13" s="184">
        <f t="shared" si="6"/>
        <v>0</v>
      </c>
      <c r="AF13" s="184">
        <f>SUBTOTAL(9,AF9:AF12)</f>
        <v>0</v>
      </c>
      <c r="AG13" s="184">
        <f t="shared" ref="AG13:AT13" si="7">SUBTOTAL(9,AG8:AG12)</f>
        <v>145</v>
      </c>
      <c r="AH13" s="184">
        <f t="shared" si="7"/>
        <v>91</v>
      </c>
      <c r="AI13" s="184">
        <f t="shared" si="7"/>
        <v>112</v>
      </c>
      <c r="AJ13" s="184">
        <f t="shared" si="7"/>
        <v>124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3146</v>
      </c>
      <c r="AZ13" s="184">
        <f>SUBTOTAL(9,AZ8:AZ12)</f>
        <v>1311</v>
      </c>
      <c r="BA13" s="184">
        <f>SUBTOTAL(9,BA8:BA12)</f>
        <v>1386</v>
      </c>
      <c r="BB13" s="184">
        <f>SUBTOTAL(9,BB8:BB12)</f>
        <v>3071</v>
      </c>
      <c r="BC13" s="184">
        <f>SUBTOTAL(9,BC8:BC12)</f>
        <v>391</v>
      </c>
      <c r="BD13" s="205">
        <f>IF(ISNUMBER(BA13/AZ13),BA13/AZ13," - ")</f>
        <v>1.0572082379862699</v>
      </c>
      <c r="BE13" s="206">
        <f>IF(ISNUMBER(BB13/BA13),BB13/BA13, " - ")</f>
        <v>2.2157287157287158</v>
      </c>
      <c r="BF13" s="206">
        <f>IF(ISNUMBER(BC13/BA13),BC13/BA13, " - ")</f>
        <v>0.28210678210678208</v>
      </c>
      <c r="BG13" s="207">
        <f>IF(ISNUMBER((AY13+AZ13)/BA13),(AY13+AZ13)/BA13," - ")</f>
        <v>3.2157287157287158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1088</v>
      </c>
      <c r="J16" s="183">
        <v>1331</v>
      </c>
      <c r="K16" s="183">
        <v>1328</v>
      </c>
      <c r="L16" s="183">
        <v>1091</v>
      </c>
      <c r="M16" s="183">
        <v>207</v>
      </c>
      <c r="N16" s="183">
        <v>652</v>
      </c>
      <c r="O16" s="181">
        <v>28</v>
      </c>
      <c r="P16" s="183">
        <v>87</v>
      </c>
      <c r="Q16" s="183">
        <v>45</v>
      </c>
      <c r="R16" s="183">
        <v>278</v>
      </c>
      <c r="S16" s="183">
        <v>1325</v>
      </c>
      <c r="T16" s="183">
        <v>871</v>
      </c>
      <c r="U16" s="183">
        <v>762</v>
      </c>
      <c r="V16" s="183">
        <v>1434</v>
      </c>
      <c r="W16" s="183">
        <v>154</v>
      </c>
      <c r="X16" s="189">
        <v>402</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1325</v>
      </c>
      <c r="AZ16" s="127">
        <f t="shared" si="9"/>
        <v>871</v>
      </c>
      <c r="BA16" s="127">
        <f t="shared" si="9"/>
        <v>762</v>
      </c>
      <c r="BB16" s="127">
        <f t="shared" si="9"/>
        <v>1434</v>
      </c>
      <c r="BC16" s="125">
        <f>IF(ISNUMBER(W16),W16," - ")</f>
        <v>154</v>
      </c>
      <c r="BD16" s="126">
        <f t="shared" ref="BD16" si="11">IF(ISNUMBER(BA16/AZ16),BA16/AZ16," - ")</f>
        <v>0.87485648679678529</v>
      </c>
      <c r="BE16" s="127">
        <f t="shared" ref="BE16" si="12">IF(ISNUMBER(BB16/BA16),BB16/BA16, " - ")</f>
        <v>1.8818897637795275</v>
      </c>
      <c r="BF16" s="127">
        <f t="shared" ref="BF16" si="13">IF(ISNUMBER(BC16/BA16),BC16/BA16, " - ")</f>
        <v>0.20209973753280841</v>
      </c>
      <c r="BG16" s="196">
        <f t="shared" si="10"/>
        <v>2.8818897637795278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0</v>
      </c>
      <c r="K17" s="183">
        <v>3</v>
      </c>
      <c r="L17" s="183">
        <v>19</v>
      </c>
      <c r="M17" s="183">
        <v>0</v>
      </c>
      <c r="N17" s="183">
        <v>0</v>
      </c>
      <c r="O17" s="183">
        <v>0</v>
      </c>
      <c r="P17" s="183">
        <v>0</v>
      </c>
      <c r="Q17" s="183">
        <v>0</v>
      </c>
      <c r="R17" s="183">
        <v>0</v>
      </c>
      <c r="S17" s="183">
        <v>63</v>
      </c>
      <c r="T17" s="183">
        <v>0</v>
      </c>
      <c r="U17" s="183">
        <v>0</v>
      </c>
      <c r="V17" s="183">
        <v>63</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0</v>
      </c>
      <c r="BA17" s="129">
        <f t="shared" si="14"/>
        <v>0</v>
      </c>
      <c r="BB17" s="129">
        <f t="shared" si="14"/>
        <v>63</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1102</v>
      </c>
      <c r="J18" s="184">
        <f t="shared" si="15"/>
        <v>1331</v>
      </c>
      <c r="K18" s="184">
        <f t="shared" si="15"/>
        <v>1331</v>
      </c>
      <c r="L18" s="184">
        <f t="shared" si="15"/>
        <v>1110</v>
      </c>
      <c r="M18" s="184">
        <f t="shared" si="15"/>
        <v>207</v>
      </c>
      <c r="N18" s="184">
        <f t="shared" si="15"/>
        <v>652</v>
      </c>
      <c r="O18" s="184">
        <f t="shared" si="15"/>
        <v>28</v>
      </c>
      <c r="P18" s="184">
        <f t="shared" si="15"/>
        <v>87</v>
      </c>
      <c r="Q18" s="184">
        <f t="shared" si="15"/>
        <v>45</v>
      </c>
      <c r="R18" s="184">
        <f t="shared" si="15"/>
        <v>278</v>
      </c>
      <c r="S18" s="184">
        <f t="shared" si="15"/>
        <v>1388</v>
      </c>
      <c r="T18" s="184">
        <f t="shared" si="15"/>
        <v>871</v>
      </c>
      <c r="U18" s="184">
        <f t="shared" si="15"/>
        <v>762</v>
      </c>
      <c r="V18" s="184">
        <f t="shared" si="15"/>
        <v>1497</v>
      </c>
      <c r="W18" s="184">
        <f t="shared" si="15"/>
        <v>154</v>
      </c>
      <c r="X18" s="184">
        <f t="shared" si="15"/>
        <v>402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1388</v>
      </c>
      <c r="AZ18" s="184">
        <f>SUBTOTAL(9,AZ14:AZ17)</f>
        <v>871</v>
      </c>
      <c r="BA18" s="184">
        <f>SUBTOTAL(9,BA14:BA17)</f>
        <v>762</v>
      </c>
      <c r="BB18" s="184">
        <f>SUBTOTAL(9,BB14:BB17)</f>
        <v>1497</v>
      </c>
      <c r="BC18" s="184">
        <f>SUBTOTAL(9,BC14:BC17)</f>
        <v>154</v>
      </c>
      <c r="BD18" s="205">
        <f>IF(ISNUMBER(BA18/AZ18),BA18/AZ18," - ")</f>
        <v>0.87485648679678529</v>
      </c>
      <c r="BE18" s="206">
        <f>IF(ISNUMBER(BB18/BA18),BB18/BA18, " - ")</f>
        <v>1.9645669291338583</v>
      </c>
      <c r="BF18" s="206">
        <f>IF(ISNUMBER(BC18/BA18),BC18/BA18, " - ")</f>
        <v>0.20209973753280841</v>
      </c>
      <c r="BG18" s="207">
        <f>IF(ISNUMBER((AY18+AZ18)/BA18),(AY18+AZ18)/BA18," - ")</f>
        <v>2.9645669291338583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4006</v>
      </c>
      <c r="J19" s="134">
        <f t="shared" si="18"/>
        <v>3302</v>
      </c>
      <c r="K19" s="134">
        <f t="shared" si="18"/>
        <v>2883</v>
      </c>
      <c r="L19" s="134">
        <f t="shared" si="18"/>
        <v>4433</v>
      </c>
      <c r="M19" s="134">
        <f t="shared" si="18"/>
        <v>581</v>
      </c>
      <c r="N19" s="134">
        <f t="shared" si="18"/>
        <v>1380</v>
      </c>
      <c r="O19" s="134">
        <f t="shared" si="18"/>
        <v>702</v>
      </c>
      <c r="P19" s="134">
        <f t="shared" si="18"/>
        <v>515</v>
      </c>
      <c r="Q19" s="134">
        <f t="shared" si="18"/>
        <v>207</v>
      </c>
      <c r="R19" s="134">
        <f t="shared" si="18"/>
        <v>5951</v>
      </c>
      <c r="S19" s="134">
        <f t="shared" si="18"/>
        <v>4389</v>
      </c>
      <c r="T19" s="134">
        <f t="shared" si="18"/>
        <v>2091</v>
      </c>
      <c r="U19" s="134">
        <f t="shared" si="18"/>
        <v>2036</v>
      </c>
      <c r="V19" s="134">
        <f t="shared" si="18"/>
        <v>4444</v>
      </c>
      <c r="W19" s="134">
        <f t="shared" si="18"/>
        <v>314</v>
      </c>
      <c r="X19" s="134">
        <f t="shared" si="18"/>
        <v>793</v>
      </c>
      <c r="Y19" s="134">
        <f t="shared" si="18"/>
        <v>75</v>
      </c>
      <c r="Z19" s="134">
        <f t="shared" si="18"/>
        <v>89</v>
      </c>
      <c r="AA19" s="134">
        <f t="shared" si="18"/>
        <v>112</v>
      </c>
      <c r="AB19" s="134">
        <f t="shared" si="18"/>
        <v>52</v>
      </c>
      <c r="AC19" s="134">
        <f t="shared" si="18"/>
        <v>0</v>
      </c>
      <c r="AD19" s="134">
        <f t="shared" si="18"/>
        <v>1</v>
      </c>
      <c r="AE19" s="134">
        <f t="shared" si="18"/>
        <v>1</v>
      </c>
      <c r="AF19" s="134">
        <f t="shared" si="18"/>
        <v>0</v>
      </c>
      <c r="AG19" s="134">
        <f t="shared" si="18"/>
        <v>145</v>
      </c>
      <c r="AH19" s="134">
        <f t="shared" si="18"/>
        <v>91</v>
      </c>
      <c r="AI19" s="134">
        <f t="shared" si="18"/>
        <v>112</v>
      </c>
      <c r="AJ19" s="134">
        <f t="shared" si="18"/>
        <v>124</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4534</v>
      </c>
      <c r="AZ19" s="134">
        <f>SUBTOTAL(9,AZ9:AZ18)</f>
        <v>2182</v>
      </c>
      <c r="BA19" s="134">
        <f>SUBTOTAL(9,BA9:BA18)</f>
        <v>2148</v>
      </c>
      <c r="BB19" s="134">
        <f>SUBTOTAL(9,BB9:BB18)</f>
        <v>4568</v>
      </c>
      <c r="BC19" s="135">
        <f>SUBTOTAL(9,BC9:BC18)</f>
        <v>545</v>
      </c>
      <c r="BD19" s="213">
        <f>IF(ISNUMBER(BA19/AZ19),BA19/AZ19," - ")</f>
        <v>0.98441796516956925</v>
      </c>
      <c r="BE19" s="210">
        <f>IF(ISNUMBER(BB19/BA19),BB19/BA19, " - ")</f>
        <v>2.1266294227188083</v>
      </c>
      <c r="BF19" s="210">
        <f>IF(ISNUMBER(BC19/BA19),BC19/BA19, " - ")</f>
        <v>0.2537243947858473</v>
      </c>
      <c r="BG19" s="135">
        <f>IF(ISNUMBER((AY19+AZ19)/BA19),(AY19+AZ19)/BA19," - ")</f>
        <v>3.1266294227188083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fVnlHxM4BewQ//eIvQjFeUX6stI9FEEfRd6+WhH+1uOExI3b8qEVepsihx4Bm26A8yEIuIW2vjWGI8dM7Z6dg==" saltValue="tiv4rSBD0aa2r9a8roJx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GJmm2cLh4DmSdqmhu0UuLwzwHkr601x/V9ArrsWyjb6LTCIzNxrimqkmIvsMq/NyYYh3MbytSDeu6Lm6vTpCg==" saltValue="MQBWyhA3sSY5+JAABiw5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CATARROJA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2</v>
      </c>
      <c r="AD10" s="334"/>
      <c r="AE10" s="484"/>
      <c r="AF10" s="332">
        <f>IF(ISNUMBER(Datos!L10),Datos!L10,"-")</f>
        <v>1</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89</v>
      </c>
      <c r="O12" s="334"/>
      <c r="P12" s="334"/>
      <c r="Q12" s="226">
        <f>IF(ISNUMBER(Datos!P12),Datos!P12,0)</f>
        <v>428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52</v>
      </c>
      <c r="AI12" s="334" t="str">
        <f>IF(ISNUMBER(Datos!CD12),Datos!CD12,"-")</f>
        <v>-</v>
      </c>
      <c r="AJ12" s="334" t="str">
        <f>IF(ISNUMBER(Datos!EN12),Datos!EN12," - ")</f>
        <v xml:space="preserve"> - </v>
      </c>
      <c r="AK12" s="334"/>
      <c r="AL12" s="479"/>
      <c r="AM12" s="335">
        <f>IF(ISNUMBER(Datos!R12),Datos!R12," - ")</f>
        <v>5665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374</v>
      </c>
      <c r="BD12" s="229">
        <f>IF(ISNUMBER(Datos!N12),Datos!N12," - ")</f>
        <v>725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0.80728155339805829</v>
      </c>
      <c r="BH12" s="260">
        <f>IF(ISNUMBER(((IF(J_V="SI",Datos!L12/Datos!K12,(Datos!L12+Datos!AB12)/(Datos!K12+Datos!AA12)))*11)/factor_trimestre),((IF(J_V="SI",Datos!L12/Datos!K12,(Datos!L12+Datos!AB12)/(Datos!K12+Datos!AA12)))*11)/factor_trimestre," - ")</f>
        <v>6.0865904990980164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4.9657216972392067E-2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89</v>
      </c>
      <c r="O13" s="900">
        <f t="shared" si="0"/>
        <v>0</v>
      </c>
      <c r="P13" s="900">
        <f t="shared" si="0"/>
        <v>0</v>
      </c>
      <c r="Q13" s="899">
        <f t="shared" si="0"/>
        <v>428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162</v>
      </c>
      <c r="AD13" s="899">
        <f t="shared" si="1"/>
        <v>0</v>
      </c>
      <c r="AE13" s="899">
        <f t="shared" si="1"/>
        <v>0</v>
      </c>
      <c r="AF13" s="899">
        <f t="shared" si="1"/>
        <v>1</v>
      </c>
      <c r="AG13" s="899">
        <f t="shared" si="1"/>
        <v>0</v>
      </c>
      <c r="AH13" s="899">
        <f t="shared" si="1"/>
        <v>52</v>
      </c>
      <c r="AI13" s="899">
        <f t="shared" si="1"/>
        <v>0</v>
      </c>
      <c r="AJ13" s="899">
        <f t="shared" si="1"/>
        <v>0</v>
      </c>
      <c r="AK13" s="899">
        <f t="shared" si="1"/>
        <v>0</v>
      </c>
      <c r="AL13" s="899">
        <f t="shared" si="1"/>
        <v>0</v>
      </c>
      <c r="AM13" s="899">
        <f t="shared" si="1"/>
        <v>5673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374</v>
      </c>
      <c r="BD13" s="899">
        <f t="shared" si="1"/>
        <v>728</v>
      </c>
      <c r="BE13" s="899">
        <f t="shared" si="1"/>
        <v>0</v>
      </c>
      <c r="BF13" s="899">
        <f t="shared" si="1"/>
        <v>0</v>
      </c>
      <c r="BG13" s="899">
        <f>IF(ISNUMBER(Datos!K13/Datos!J13),Datos!K13/Datos!J13," - ")</f>
        <v>0.78741755454084217</v>
      </c>
      <c r="BH13" s="903">
        <f>IF(ISNUMBER(((Datos!L13/Datos!K13)*11)/factor_trimestre),((Datos!L13/Datos!K13)*11)/factor_trimestre," - ")</f>
        <v>6.4233247422680426</v>
      </c>
      <c r="BI13" s="899">
        <f>IF(ISNUMBER('Resol  Asuntos'!D13/NºAsuntos!G13),'Resol  Asuntos'!D13/NºAsuntos!G13," - ")</f>
        <v>0.22475961538461539</v>
      </c>
      <c r="BJ13" s="899" t="str">
        <f>IF(ISNUMBER(Datos!CI13/Datos!CJ13),Datos!CI13/Datos!CJ13," - ")</f>
        <v xml:space="preserve"> - </v>
      </c>
      <c r="BK13" s="899">
        <f>SUBTOTAL(9,BK8:BK12)</f>
        <v>0</v>
      </c>
      <c r="BL13" s="899">
        <f>IF(ISNUMBER((I13-AB13+L13)/(F13)),(I13-AB13+L13)/(F13)," - ")</f>
        <v>-0.5</v>
      </c>
      <c r="BM13" s="904">
        <f>SUBTOTAL(9,BM9:BM12)</f>
        <v>-0.15034278302760795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1088</v>
      </c>
      <c r="G16" s="598">
        <f>IF(ISNUMBER(IF(D_I="SI",Datos!I16,Datos!I16+Datos!AC16)),IF(D_I="SI",Datos!I16,Datos!I16+Datos!AC16)," - ")</f>
        <v>1088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1328</v>
      </c>
      <c r="AC16" s="226">
        <f>IF(ISNUMBER(Datos!Q16),Datos!Q16," - ")</f>
        <v>45</v>
      </c>
      <c r="AD16" s="334"/>
      <c r="AE16" s="484"/>
      <c r="AF16" s="596">
        <f>IF(ISNUMBER(IF(D_I="SI",Datos!L16,Datos!L16+Datos!AF16)),IF(D_I="SI",Datos!L16,Datos!L16+Datos!AF16)," - ")</f>
        <v>1091</v>
      </c>
      <c r="AG16" s="334"/>
      <c r="AH16" s="334"/>
      <c r="AI16" s="334"/>
      <c r="AJ16" s="334"/>
      <c r="AK16" s="334"/>
      <c r="AL16" s="479"/>
      <c r="AM16" s="335">
        <f>IF(ISNUMBER(Datos!R16),Datos!R16," - ")</f>
        <v>278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207</v>
      </c>
      <c r="BD16" s="229">
        <f>IF(ISNUMBER(Datos!N16),Datos!N16," - ")</f>
        <v>652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0.99774605559729523</v>
      </c>
      <c r="BH16" s="260">
        <f>IF(ISNUMBER(((IF(D_I="SI",Datos!L16/Datos!K16,(Datos!L16+Datos!AF16)/(Datos!K16+Datos!AE16)))*11)/factor_trimestre),((IF(D_I="SI",Datos!L16/Datos!K16,(Datos!L16+Datos!AF16)/(Datos!K16+Datos!AE16)))*11)/factor_trimestre," - ")</f>
        <v>2.4646084337349401</v>
      </c>
      <c r="BI16" s="243">
        <f>IF(ISNUMBER('Resol  Asuntos'!D16/NºAsuntos!G16),'Resol  Asuntos'!D16/NºAsuntos!G16," - ")</f>
        <v>0.15587349397590361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18.999999999999996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1088</v>
      </c>
      <c r="G18" s="898">
        <f>SUBTOTAL(9,G15:G17)</f>
        <v>1102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1331</v>
      </c>
      <c r="AC18" s="899">
        <f t="shared" si="4"/>
        <v>45</v>
      </c>
      <c r="AD18" s="899">
        <f t="shared" si="4"/>
        <v>0</v>
      </c>
      <c r="AE18" s="899">
        <f t="shared" si="4"/>
        <v>0</v>
      </c>
      <c r="AF18" s="899">
        <f t="shared" si="4"/>
        <v>1110</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207</v>
      </c>
      <c r="BD18" s="899">
        <f t="shared" si="4"/>
        <v>652</v>
      </c>
      <c r="BE18" s="899">
        <f t="shared" si="4"/>
        <v>0</v>
      </c>
      <c r="BF18" s="899">
        <f t="shared" si="4"/>
        <v>0</v>
      </c>
      <c r="BG18" s="899">
        <f>IF(ISNUMBER(Datos!K18/Datos!J18),Datos!K18/Datos!J18," - ")</f>
        <v>1</v>
      </c>
      <c r="BH18" s="903">
        <f>IF(ISNUMBER(((Datos!L18/Datos!K18)*11)/factor_trimestre),((Datos!L18/Datos!K18)*11)/factor_trimestre," - ")</f>
        <v>2.501878287002254</v>
      </c>
      <c r="BI18" s="899">
        <f>SUBTOTAL(9,BI15:BI17)</f>
        <v>0.15587349397590361</v>
      </c>
      <c r="BJ18" s="899">
        <f>SUBTOTAL(9,BJ15:BJ17)</f>
        <v>0</v>
      </c>
      <c r="BK18" s="899">
        <f>SUBTOTAL(9,BK15:BK17)</f>
        <v>0</v>
      </c>
      <c r="BL18" s="899">
        <f>IF(ISNUMBER((I18-AB18+L18)/(F18)),(I18-AB18+L18)/(F18)," - ")</f>
        <v>-1.2233455882352942</v>
      </c>
      <c r="BM18" s="905">
        <f>IF(ISNUMBER((Datos!P18-Datos!Q18)/(Datos!R18-Datos!P18+Datos!Q18)),(Datos!P18-Datos!Q18)/(Datos!R18-Datos!P18+Datos!Q18)," - ")</f>
        <v>0.17796610169491525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1090</v>
      </c>
      <c r="G19" s="820">
        <f t="shared" si="6"/>
        <v>1104</v>
      </c>
      <c r="H19" s="822">
        <f t="shared" si="6"/>
        <v>0</v>
      </c>
      <c r="I19" s="820">
        <f t="shared" si="6"/>
        <v>0</v>
      </c>
      <c r="J19" s="822">
        <f t="shared" si="6"/>
        <v>0</v>
      </c>
      <c r="K19" s="822">
        <f t="shared" si="6"/>
        <v>0</v>
      </c>
      <c r="L19" s="881">
        <f t="shared" si="6"/>
        <v>0</v>
      </c>
      <c r="M19" s="881">
        <f t="shared" si="6"/>
        <v>0</v>
      </c>
      <c r="N19" s="881">
        <f t="shared" si="6"/>
        <v>89</v>
      </c>
      <c r="O19" s="881">
        <f t="shared" si="6"/>
        <v>0</v>
      </c>
      <c r="P19" s="881">
        <f t="shared" si="6"/>
        <v>0</v>
      </c>
      <c r="Q19" s="822">
        <f t="shared" si="6"/>
        <v>515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1332</v>
      </c>
      <c r="AC19" s="821">
        <f t="shared" si="7"/>
        <v>207</v>
      </c>
      <c r="AD19" s="821">
        <f t="shared" si="7"/>
        <v>0</v>
      </c>
      <c r="AE19" s="821">
        <f t="shared" si="7"/>
        <v>0</v>
      </c>
      <c r="AF19" s="828">
        <f t="shared" si="7"/>
        <v>1111</v>
      </c>
      <c r="AG19" s="828">
        <f t="shared" si="7"/>
        <v>0</v>
      </c>
      <c r="AH19" s="828">
        <f t="shared" si="7"/>
        <v>52</v>
      </c>
      <c r="AI19" s="828">
        <f t="shared" si="7"/>
        <v>0</v>
      </c>
      <c r="AJ19" s="821">
        <f t="shared" si="7"/>
        <v>0</v>
      </c>
      <c r="AK19" s="828">
        <f t="shared" si="7"/>
        <v>0</v>
      </c>
      <c r="AL19" s="828">
        <f t="shared" si="7"/>
        <v>0</v>
      </c>
      <c r="AM19" s="828">
        <f t="shared" si="7"/>
        <v>5951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581</v>
      </c>
      <c r="BD19" s="820">
        <f t="shared" si="7"/>
        <v>1380</v>
      </c>
      <c r="BE19" s="820">
        <f t="shared" si="7"/>
        <v>0</v>
      </c>
      <c r="BF19" s="830">
        <f t="shared" si="7"/>
        <v>0</v>
      </c>
      <c r="BG19" s="915">
        <f>IF(ISNUMBER(Datos!K19/Datos!J19),Datos!K19/Datos!J19," - ")</f>
        <v>0.87310720775287709</v>
      </c>
      <c r="BH19" s="915">
        <f>IF(ISNUMBER(((Datos!L19/Datos!K19)*11)/factor_trimestre),((Datos!L19/Datos!K19)*11)/factor_trimestre," - ")</f>
        <v>4.612903225806452</v>
      </c>
      <c r="BI19" s="813">
        <f>IF(ISNUMBER(Datos!J19/Datos!I19),Datos!J19/Datos!I19," - ")</f>
        <v>0.82426360459311032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-1.2220183486238532</v>
      </c>
      <c r="BM19" s="889">
        <f>IF(ISNUMBER((Datos!P19-Datos!Q19+R19)/(Datos!R19-Datos!P19+Datos!Q19-R19)),(Datos!P19-Datos!Q19+R19)/(Datos!R19-Datos!P19+Datos!Q19-R19)," - ")</f>
        <v>5.4580896686159841E-2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627.00239233993364</v>
      </c>
      <c r="G21" s="552">
        <f>IF(ISNUMBER(STDEV(G8:G18)),STDEV(G8:G18),"-")</f>
        <v>596.51051960548023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727.28550102418512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167.57645021501878</v>
      </c>
      <c r="BD21" s="551"/>
      <c r="BE21" s="551">
        <f>IF(ISNUMBER(STDEV(BE8:BE18)),STDEV(BE8:BE18),"-")</f>
        <v>0</v>
      </c>
      <c r="BF21" s="556">
        <f>IF(ISNUMBER(STDEV(BF8:BF18)),STDEV(BF8:BF18),"-")</f>
        <v>0</v>
      </c>
      <c r="BG21" s="775">
        <f>IF(ISNUMBER(STDEV(BG8:BG18)),STDEV(BG8:BG18),"-")</f>
        <v>0.11663552898119853</v>
      </c>
      <c r="BH21" s="776">
        <f>IF(ISNUMBER(STDEV(BH8:BH18)),STDEV(BH8:BH18),"-")</f>
        <v>6.3389008883879656</v>
      </c>
      <c r="BI21" s="249">
        <f>IF(ISNUMBER(STDEV(BI8:BI18)),STDEV(BI8:BI18),"-")</f>
        <v>9.5131738658304765E-2</v>
      </c>
      <c r="BJ21" s="230" t="str">
        <f>IF(ISNUMBER(BL21/BM21),BL21/BM21," - ")</f>
        <v xml:space="preserve"> - </v>
      </c>
      <c r="BK21" s="575"/>
      <c r="BL21" s="559">
        <f>IF(ISNUMBER(STDEV(BL8:BL18)),STDEV(BL8:BL18),"-")</f>
        <v>0.51148257058254865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uyudrZTZ9nAXf3mOponsS4qOD6zUmHxyybNklK98Th50j7GLCJrEjfNrtsJ0fmZ2CMrwdWVpHuhU5NEiI1QFQ==" saltValue="jnhy1p2nC4X5MeeCKkJM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CATARROJA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2</v>
      </c>
      <c r="AA10" s="332">
        <f>IF(ISNUMBER(Datos!L10),Datos!L10,"-")</f>
        <v>1</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160</v>
      </c>
      <c r="AA12" s="332" t="str">
        <f>IF(ISNUMBER(IF(J_V="SI",Datos!L12,Datos!L12+Datos!AB12)-IF(Monitorios="SI",Datos!CD12,0)),
                          IF(J_V="SI",Datos!L12,Datos!L12+Datos!AB12)-IF(Monitorios="SI",Datos!CD12,0),
                          " - ")</f>
        <v xml:space="preserve"> - </v>
      </c>
      <c r="AB12" s="334"/>
      <c r="AC12" s="334"/>
      <c r="AD12" s="484"/>
      <c r="AE12" s="484">
        <f>IF(ISNUMBER(Datos!R12),Datos!R12," - ")</f>
        <v>5665</v>
      </c>
      <c r="AF12" s="229" t="str">
        <f>IF(ISNUMBER(Datos!BV12),Datos!BV12," - ")</f>
        <v xml:space="preserve"> - </v>
      </c>
      <c r="AG12" s="225" t="str">
        <f>IF(ISNUMBER(Datos!DV12),Datos!DV12," - ")</f>
        <v xml:space="preserve"> - </v>
      </c>
      <c r="AH12" s="298"/>
      <c r="AI12" s="227"/>
      <c r="AJ12" s="225">
        <f>IF(ISNUMBER(Datos!M12),Datos!M12," - ")</f>
        <v>374</v>
      </c>
      <c r="AK12" s="229">
        <f>IF(ISNUMBER(Datos!N12),Datos!N12," - ")</f>
        <v>725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6.0865904990980164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4.9657216972392067E-2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428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162</v>
      </c>
      <c r="AA13" s="900">
        <f t="shared" si="2"/>
        <v>1</v>
      </c>
      <c r="AB13" s="900">
        <f t="shared" si="2"/>
        <v>0</v>
      </c>
      <c r="AC13" s="900">
        <f t="shared" si="2"/>
        <v>0</v>
      </c>
      <c r="AD13" s="900">
        <f t="shared" si="2"/>
        <v>0</v>
      </c>
      <c r="AE13" s="900">
        <f t="shared" si="2"/>
        <v>5673</v>
      </c>
      <c r="AF13" s="908">
        <f t="shared" si="2"/>
        <v>0</v>
      </c>
      <c r="AG13" s="908">
        <f t="shared" si="2"/>
        <v>0</v>
      </c>
      <c r="AH13" s="908">
        <f t="shared" si="2"/>
        <v>0</v>
      </c>
      <c r="AI13" s="908">
        <f t="shared" si="2"/>
        <v>0</v>
      </c>
      <c r="AJ13" s="908">
        <f t="shared" si="2"/>
        <v>374</v>
      </c>
      <c r="AK13" s="908">
        <f t="shared" si="2"/>
        <v>728</v>
      </c>
      <c r="AL13" s="908">
        <f t="shared" si="2"/>
        <v>0</v>
      </c>
      <c r="AM13" s="908">
        <f t="shared" si="2"/>
        <v>0</v>
      </c>
      <c r="AN13" s="908">
        <f t="shared" si="2"/>
        <v>0</v>
      </c>
      <c r="AO13" s="904">
        <f>IF(ISNUMBER(((NºAsuntos!I13/NºAsuntos!G13)*11)/factor_trimestre),((NºAsuntos!I13/NºAsuntos!G13)*11)/factor_trimestre," - ")</f>
        <v>6.0847355769230775</v>
      </c>
      <c r="AP13" s="910" t="str">
        <f>IF(ISNUMBER(Datos!CI13/Datos!CJ13),Datos!CI13/Datos!CJ13," - ")</f>
        <v xml:space="preserve"> - </v>
      </c>
      <c r="AQ13" s="928">
        <f t="shared" ref="AQ13:AV13" si="3">SUBTOTAL(9,AQ9:AQ12)</f>
        <v>0</v>
      </c>
      <c r="AR13" s="928">
        <f t="shared" si="3"/>
        <v>-0.15034278302760795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1088</v>
      </c>
      <c r="G16" s="225">
        <f>IF(ISNUMBER(IF(D_I="SI",Datos!I16,Datos!I16+Datos!AC16)),IF(D_I="SI",Datos!I16,Datos!I16+Datos!AC16)," - ")</f>
        <v>1088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1328</v>
      </c>
      <c r="Z16" s="619">
        <f>IF(ISNUMBER(Datos!Q16),Datos!Q16," - ")</f>
        <v>45</v>
      </c>
      <c r="AA16" s="332">
        <f>IF(ISNUMBER(IF(D_I="SI",Datos!L16,Datos!L16+Datos!AF16)),IF(D_I="SI",Datos!L16,Datos!L16+Datos!AF16)," - ")</f>
        <v>1091</v>
      </c>
      <c r="AB16" s="334"/>
      <c r="AC16" s="334"/>
      <c r="AD16" s="484"/>
      <c r="AE16" s="484">
        <f>IF(ISNUMBER(Datos!R16),Datos!R16," - ")</f>
        <v>278</v>
      </c>
      <c r="AF16" s="229" t="str">
        <f>IF(ISNUMBER(Datos!BV16),Datos!BV16," - ")</f>
        <v xml:space="preserve"> - </v>
      </c>
      <c r="AG16" s="225"/>
      <c r="AH16" s="298"/>
      <c r="AI16" s="227"/>
      <c r="AJ16" s="225">
        <f>IF(ISNUMBER(Datos!M16),Datos!M16," - ")</f>
        <v>207</v>
      </c>
      <c r="AK16" s="229">
        <f>IF(ISNUMBER(Datos!N16),Datos!N16," - ")</f>
        <v>652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2.4646084337349401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18.999999999999996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1088</v>
      </c>
      <c r="G18" s="898">
        <f>SUBTOTAL(9,G15:G17)</f>
        <v>1102</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1331</v>
      </c>
      <c r="Z18" s="932">
        <f t="shared" si="5"/>
        <v>45</v>
      </c>
      <c r="AA18" s="932">
        <f t="shared" si="5"/>
        <v>1110</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207</v>
      </c>
      <c r="AK18" s="932">
        <f t="shared" si="5"/>
        <v>652</v>
      </c>
      <c r="AL18" s="932">
        <f t="shared" si="5"/>
        <v>0</v>
      </c>
      <c r="AM18" s="932">
        <f t="shared" si="5"/>
        <v>0</v>
      </c>
      <c r="AN18" s="932">
        <f t="shared" si="5"/>
        <v>0</v>
      </c>
      <c r="AO18" s="934">
        <f>IF(ISNUMBER(((NºAsuntos!I18/NºAsuntos!G18)*11)/factor_trimestre),((NºAsuntos!I18/NºAsuntos!G18)*11)/factor_trimestre," - ")</f>
        <v>2.501878287002254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1090</v>
      </c>
      <c r="G19" s="820">
        <f t="shared" si="7"/>
        <v>1104</v>
      </c>
      <c r="H19" s="821">
        <f t="shared" si="7"/>
        <v>0</v>
      </c>
      <c r="I19" s="820">
        <f t="shared" si="7"/>
        <v>0</v>
      </c>
      <c r="J19" s="822">
        <f t="shared" si="7"/>
        <v>0</v>
      </c>
      <c r="K19" s="820">
        <f t="shared" si="7"/>
        <v>0</v>
      </c>
      <c r="L19" s="823">
        <f t="shared" si="7"/>
        <v>0</v>
      </c>
      <c r="M19" s="820">
        <f t="shared" si="7"/>
        <v>0</v>
      </c>
      <c r="N19" s="821">
        <f t="shared" si="7"/>
        <v>515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1332</v>
      </c>
      <c r="Z19" s="827">
        <f t="shared" si="8"/>
        <v>207</v>
      </c>
      <c r="AA19" s="828">
        <f t="shared" si="8"/>
        <v>1111</v>
      </c>
      <c r="AB19" s="828">
        <f t="shared" si="8"/>
        <v>0</v>
      </c>
      <c r="AC19" s="828">
        <f t="shared" si="8"/>
        <v>0</v>
      </c>
      <c r="AD19" s="829">
        <f t="shared" si="8"/>
        <v>0</v>
      </c>
      <c r="AE19" s="829">
        <f t="shared" si="8"/>
        <v>5951</v>
      </c>
      <c r="AF19" s="830">
        <f t="shared" si="8"/>
        <v>0</v>
      </c>
      <c r="AG19" s="831">
        <f t="shared" si="8"/>
        <v>0</v>
      </c>
      <c r="AH19" s="832">
        <f t="shared" si="8"/>
        <v>0</v>
      </c>
      <c r="AI19" s="830">
        <f t="shared" si="8"/>
        <v>0</v>
      </c>
      <c r="AJ19" s="820">
        <f t="shared" si="8"/>
        <v>581</v>
      </c>
      <c r="AK19" s="820">
        <f t="shared" si="8"/>
        <v>1380</v>
      </c>
      <c r="AL19" s="820">
        <f t="shared" si="8"/>
        <v>0</v>
      </c>
      <c r="AM19" s="833">
        <f t="shared" si="8"/>
        <v>0</v>
      </c>
      <c r="AN19" s="823">
        <f>IF(ISNUMBER(Datos!K19/Datos!J19),Datos!K19/Datos!J19," - ")</f>
        <v>0.87310720775287709</v>
      </c>
      <c r="AO19" s="823">
        <f>IF(ISNUMBER(FIND("06",Criterios!A8,1)),(IF(ISNUMBER(((Datos!R19/Datos!Q19)*11)/factor_trimestre),((Datos!R19/Datos!Q19)*11)/factor_trimestre," - ")),(IF(ISNUMBER(((Datos!L19/Datos!K19)*11)/factor_trimestre),((Datos!L19/Datos!K19)*11)/factor_trimestre," - ")))</f>
        <v>4.612903225806452</v>
      </c>
      <c r="AP19" s="834" t="str">
        <f>IF(ISNUMBER(Datos!CI19/Datos!CJ19),Datos!CI19/Datos!CJ19," - ")</f>
        <v xml:space="preserve"> - </v>
      </c>
      <c r="AQ19" s="834">
        <f>IF(OR(ISNUMBER(FIND("01",Criterios!A8,1)),ISNUMBER(FIND("02",Criterios!A8,1)),ISNUMBER(FIND("03",Criterios!A8,1)),ISNUMBER(FIND("04",Criterios!A8,1))),(J19-Y19+K19)/(F19-K19),(I19-Y19+K19)/(F19-K19))</f>
        <v>-1.2220183486238532</v>
      </c>
      <c r="AR19" s="834">
        <f>IF(ISNUMBER((Datos!P19-Datos!Q19+O19)/(Datos!R19-Datos!P19+Datos!Q19-O19)),(Datos!P19-Datos!Q19+O19)/(Datos!R19-Datos!P19+Datos!Q19-O19)," - ")</f>
        <v>5.4580896686159841E-2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627.00239233993364</v>
      </c>
      <c r="G21" s="552">
        <f>IF(ISNUMBER(STDEV(G8:G18)),STDEV(G8:G18),"-")</f>
        <v>596.51051960548023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167.57645021501878</v>
      </c>
      <c r="AK21" s="252"/>
      <c r="AL21" s="252">
        <f>IF(ISNUMBER(STDEV(AL8:AL18)),STDEV(AL8:AL18),"-")</f>
        <v>0</v>
      </c>
      <c r="AM21" s="254">
        <f>IF(ISNUMBER(STDEV(AM8:AM18)),STDEV(AM8:AM18),"-")</f>
        <v>0</v>
      </c>
      <c r="AN21" s="539">
        <f>IF(ISNUMBER(STDEV(AN8:AN18)),STDEV(AN8:AN18),"-")</f>
        <v>0</v>
      </c>
      <c r="AO21" s="540">
        <f>IF(ISNUMBER(STDEV(AO8:AO18)),STDEV(AO8:AO18),"-")</f>
        <v>6.3420745641634459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XP1QWn1SbfOafOyPv/Bapf3T90FCUTCOkiyQqtYeY9i6nFMeA0yvMFoBZiI2IOSxc/CHxnyPC8G2G0SvuuOFw==" saltValue="BE9LKXxESseoLXFSloTQ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r5z+xhcx6VAw7bqQTvBSfzIyIrEOV0U21k12aSBG827Tz35XY/L1lXIrDyFtCC5cpo9f8Apk6tt4YLEI7JVrw==" saltValue="CuPWVzWqQG1qaFcrbaLT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K8JyRpBktg2fqshJTP00kKrZO/GBa7zw25zpjPELHNY/y6Q1N82Bi67Qc7m8lSF/hzDOH/1UbgSVu313vABA==" saltValue="4IxpIMB4FaXOpkoAEovR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CATARROJA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0.22475961538461539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0.15892904817534181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Kg5KYmxeHRvLjvM2oJQNKmSqQHxZvm54PcBFFbGYneLt1/i9bi4pjGrwKsdYQGj9M5wFBwtGF63UEbkcQ71Ug==" saltValue="mxoNWhOgwxwxLIRHOSub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BKzjV0Ngf6E77LmA30zehUfMfYZupzvDEG2wkY+/UlMFTjyQAOfmsl5lFFhdQeUM2OOMvfW3dOxIEJVpib5w==" saltValue="Rt16KoOaOiBkxYQItaDG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CATARROJA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374</v>
      </c>
      <c r="AM12" s="690">
        <f>IF(ISNUMBER(Datos!N12+DatosP!N16),Datos!N12+DatosP!N16," - ")</f>
        <v>725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6.0865904990980164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4.9657216972392067E-2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428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160</v>
      </c>
      <c r="AE13" s="939">
        <f t="shared" si="1"/>
        <v>0</v>
      </c>
      <c r="AF13" s="939">
        <f t="shared" si="1"/>
        <v>1</v>
      </c>
      <c r="AG13" s="939">
        <f t="shared" si="1"/>
        <v>0</v>
      </c>
      <c r="AH13" s="939">
        <f t="shared" si="1"/>
        <v>5665</v>
      </c>
      <c r="AI13" s="939">
        <f t="shared" si="1"/>
        <v>0</v>
      </c>
      <c r="AJ13" s="939">
        <f t="shared" si="1"/>
        <v>0</v>
      </c>
      <c r="AK13" s="939">
        <f t="shared" si="1"/>
        <v>0</v>
      </c>
      <c r="AL13" s="939">
        <f t="shared" si="1"/>
        <v>374</v>
      </c>
      <c r="AM13" s="939">
        <f t="shared" si="1"/>
        <v>728</v>
      </c>
      <c r="AN13" s="939">
        <f t="shared" si="1"/>
        <v>0</v>
      </c>
      <c r="AO13" s="939">
        <f t="shared" si="1"/>
        <v>0</v>
      </c>
      <c r="AP13" s="944">
        <f>IF(ISNUMBER(((Datos!L13/Datos!K13)*11)/factor_trimestre),((Datos!L13/Datos!K13)*11)/factor_trimestre," - ")</f>
        <v>6.4233247422680426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4.9657216972392067E-2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2.501878287002254</v>
      </c>
      <c r="AQ18" s="944">
        <f>IF(ISNUMBER(((Datos!M18/Datos!L18)*11)/factor_trimestre),((Datos!M18/Datos!L18)*11)/factor_trimestre," - ")</f>
        <v>0.55945945945945952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0.17796610169491525</v>
      </c>
      <c r="AW18" s="946">
        <f>IF(ISNUMBER((Datos!Q18-Datos!R18)/(Datos!S18-Datos!Q18+Datos!R18)),(Datos!Q18-Datos!R18)/(Datos!S18-Datos!Q18+Datos!R18)," - ")</f>
        <v>-0.14373843306600864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428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160</v>
      </c>
      <c r="AE19" s="957">
        <f t="shared" si="5"/>
        <v>0</v>
      </c>
      <c r="AF19" s="958">
        <f t="shared" si="5"/>
        <v>1</v>
      </c>
      <c r="AG19" s="958">
        <f t="shared" si="5"/>
        <v>0</v>
      </c>
      <c r="AH19" s="958">
        <f t="shared" si="5"/>
        <v>5665</v>
      </c>
      <c r="AI19" s="958">
        <f t="shared" si="5"/>
        <v>0</v>
      </c>
      <c r="AJ19" s="959">
        <f t="shared" si="5"/>
        <v>0</v>
      </c>
      <c r="AK19" s="959">
        <f t="shared" si="5"/>
        <v>0</v>
      </c>
      <c r="AL19" s="951">
        <f t="shared" si="5"/>
        <v>374</v>
      </c>
      <c r="AM19" s="951">
        <f t="shared" si="5"/>
        <v>728</v>
      </c>
      <c r="AN19" s="951">
        <f t="shared" si="5"/>
        <v>0</v>
      </c>
      <c r="AO19" s="951">
        <f t="shared" si="5"/>
        <v>0</v>
      </c>
      <c r="AP19" s="951">
        <f>IF(ISNUMBER(((Datos!L19/Datos!K19)*11)/factor_trimestre),((Datos!L19/Datos!K19)*11)/factor_trimestre," - ")</f>
        <v>4.612903225806452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5.4580896686159841E-2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215.92900067692005</v>
      </c>
      <c r="AM21" s="736"/>
      <c r="AN21" s="736">
        <f>IF(ISNUMBER(STDEV(AN8:AN18)),STDEV(AN8:AN18),"-")</f>
        <v>0</v>
      </c>
      <c r="AO21" s="742">
        <f>IF(ISNUMBER(STDEV(AO8:AO18)),STDEV(AO8:AO18),"-")</f>
        <v>0</v>
      </c>
      <c r="AP21" s="779">
        <f>IF(ISNUMBER(STDEV(AP8:AP18)),STDEV(AP8:AP18),"-")</f>
        <v>2.0378831405957949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75CEJjAyifc4B8MTDE/PlpQNG2hEN3nA6iP2JFIYrhKhQNna1YrH1AEY4VEju5GWhj1ihPfZyNiIu67lqoXYw==" saltValue="Tvtn4lKKhFnjrU0yvuTV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